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5570" windowHeight="9060" tabRatio="601" firstSheet="2" activeTab="2"/>
  </bookViews>
  <sheets>
    <sheet name="таблица (2)" sheetId="1" r:id="rId1"/>
    <sheet name="свод на 2014" sheetId="2" r:id="rId2"/>
    <sheet name="маркин" sheetId="3" r:id="rId3"/>
  </sheets>
  <definedNames>
    <definedName name="_xlnm.Print_Area" localSheetId="2">'маркин'!$A$1:$J$201</definedName>
    <definedName name="_xlnm.Print_Area" localSheetId="1">'свод на 2014'!$A$1:$I$132</definedName>
    <definedName name="_xlnm.Print_Area" localSheetId="0">'таблица (2)'!$A$1:$AZ$82</definedName>
  </definedNames>
  <calcPr fullCalcOnLoad="1"/>
</workbook>
</file>

<file path=xl/sharedStrings.xml><?xml version="1.0" encoding="utf-8"?>
<sst xmlns="http://schemas.openxmlformats.org/spreadsheetml/2006/main" count="582" uniqueCount="290">
  <si>
    <t>УТВЕРЖДАЮ:</t>
  </si>
  <si>
    <t>Директор МБОУ _________________________</t>
  </si>
  <si>
    <r>
      <rPr>
        <b/>
        <sz val="12"/>
        <rFont val="Arial Cyr"/>
        <family val="0"/>
      </rPr>
      <t>907 0702 7951202 611</t>
    </r>
    <r>
      <rPr>
        <sz val="12"/>
        <rFont val="Arial Cyr"/>
        <family val="0"/>
      </rPr>
      <t xml:space="preserve"> Финансовое обеспечение  выполнения муниципальных  заданий школами    начальными, неполными средними и средними </t>
    </r>
  </si>
  <si>
    <t xml:space="preserve">ст 223 "Коммунальные расходы " </t>
  </si>
  <si>
    <t>т.р</t>
  </si>
  <si>
    <t>наименование</t>
  </si>
  <si>
    <t>кол-во</t>
  </si>
  <si>
    <t>тариф, руб</t>
  </si>
  <si>
    <t>сумма</t>
  </si>
  <si>
    <t>водоснабжение</t>
  </si>
  <si>
    <t>водоотведение</t>
  </si>
  <si>
    <t>вывоз ЖБО</t>
  </si>
  <si>
    <t>электроэнергия</t>
  </si>
  <si>
    <t>теплоэнергия</t>
  </si>
  <si>
    <t>газ</t>
  </si>
  <si>
    <t>Итого</t>
  </si>
  <si>
    <t>ст 225 "Услуги по содержанию имущества"</t>
  </si>
  <si>
    <t>зарядка огнетушителей</t>
  </si>
  <si>
    <t>инструментальный контроль автобус</t>
  </si>
  <si>
    <t>техобслуживание теплосчетчика</t>
  </si>
  <si>
    <t>техобслуживание автобусов</t>
  </si>
  <si>
    <t>промывка систем отопления</t>
  </si>
  <si>
    <t>противоклещевая обработка</t>
  </si>
  <si>
    <t>ст 226 "Прочие услуги" -</t>
  </si>
  <si>
    <t>медосмотр</t>
  </si>
  <si>
    <t>обучение водителей 20 час программе</t>
  </si>
  <si>
    <t>предрейсовый медосмотр водителя</t>
  </si>
  <si>
    <t>баканализы</t>
  </si>
  <si>
    <t xml:space="preserve">обучение по теплохозяйству       </t>
  </si>
  <si>
    <t>обучение по противопожарной безопасн</t>
  </si>
  <si>
    <t>страхование автотранспорта (автобус)</t>
  </si>
  <si>
    <t>услуги архива</t>
  </si>
  <si>
    <t>гигиеническое обучение</t>
  </si>
  <si>
    <t>паразитологическое обследование</t>
  </si>
  <si>
    <t>ст 290 Прочие услуги</t>
  </si>
  <si>
    <t xml:space="preserve">транспортный налог  </t>
  </si>
  <si>
    <t>техосмотр</t>
  </si>
  <si>
    <t>ст 310 "Увеличение стоимости основных средств" -</t>
  </si>
  <si>
    <t>ст 340 "Увеличение стоимости материальных запасов" -</t>
  </si>
  <si>
    <t>бензин (подвоз)</t>
  </si>
  <si>
    <t>бензин на ЕГЭ, Учебно-полевые сборы</t>
  </si>
  <si>
    <t>стройматериалы на ремонт здания (краска и т.д)</t>
  </si>
  <si>
    <t>запчасти  (автобус)</t>
  </si>
  <si>
    <t xml:space="preserve">льготное питание для детей из малоимущих семей - </t>
  </si>
  <si>
    <t>молоко  (уч-ся 1-4кл)</t>
  </si>
  <si>
    <t>ст 800 "Итого расходов" -</t>
  </si>
  <si>
    <t>земельный налог</t>
  </si>
  <si>
    <t>налог на имущество</t>
  </si>
  <si>
    <t>ст 800 Итого расходов</t>
  </si>
  <si>
    <r>
      <rPr>
        <b/>
        <sz val="12"/>
        <rFont val="Arial Cyr"/>
        <family val="0"/>
      </rPr>
      <t xml:space="preserve">907 0707  7950100  611  </t>
    </r>
    <r>
      <rPr>
        <sz val="11"/>
        <rFont val="Arial Cyr"/>
        <family val="0"/>
      </rPr>
      <t>Профилактика правонарушений в Цимлянском районе  на 2011-2013 годы (трудоустройство учащихся на период  каникул)</t>
    </r>
  </si>
  <si>
    <t>ст 211 "Заработная плата" -</t>
  </si>
  <si>
    <t>руб * 9 мес  =</t>
  </si>
  <si>
    <t>ст 212 "Прочие выплаты"</t>
  </si>
  <si>
    <t>суточные (курсы повышения квалификации)</t>
  </si>
  <si>
    <t>ст 213 "Начисления на заработную плату" 30,2%</t>
  </si>
  <si>
    <t>ст 221 "Услуги связи"</t>
  </si>
  <si>
    <t>ст 222 "Транспортные расходы"</t>
  </si>
  <si>
    <t>проезд (курсы повышения квалификации)</t>
  </si>
  <si>
    <t>заправка катриджей</t>
  </si>
  <si>
    <t>услуга бухгалтерского учета (МАУ РЦО )</t>
  </si>
  <si>
    <t>подписка (Вестник образования и Учительская газета)</t>
  </si>
  <si>
    <t>программное обеспечение "Контур-экстерн"</t>
  </si>
  <si>
    <t xml:space="preserve">программное обеспечение </t>
  </si>
  <si>
    <t>проживание (курсы повышения квалификации)</t>
  </si>
  <si>
    <t>типографские услуги</t>
  </si>
  <si>
    <t>учебники</t>
  </si>
  <si>
    <t>учебно-наглядные пособия</t>
  </si>
  <si>
    <t>технические средства обучения</t>
  </si>
  <si>
    <t>моющие</t>
  </si>
  <si>
    <t>хозинвентарь</t>
  </si>
  <si>
    <t>канцтовары</t>
  </si>
  <si>
    <t>Фонд софинансирования расходов</t>
  </si>
  <si>
    <t xml:space="preserve">в месяц </t>
  </si>
  <si>
    <t>итого</t>
  </si>
  <si>
    <t>техобслуживание газопровода</t>
  </si>
  <si>
    <t>обучение по охране труда</t>
  </si>
  <si>
    <t xml:space="preserve">ст 213 "Начисления на заработную плату" 30,2% </t>
  </si>
  <si>
    <t>Малахова С.С.______________________________</t>
  </si>
  <si>
    <t>МБОУ Маркинская СОШ</t>
  </si>
  <si>
    <t xml:space="preserve">ст 222 Транспортные услуги - </t>
  </si>
  <si>
    <t>дератизация 535 р *12 мес =</t>
  </si>
  <si>
    <t>уголь</t>
  </si>
  <si>
    <t>аренда ФОКа</t>
  </si>
  <si>
    <t xml:space="preserve">  т *  9105 руб = </t>
  </si>
  <si>
    <t xml:space="preserve">907 0702 7951202 611 Финансовое обеспечение  выполнения муниципальных  заданий школами    начальными, неполными средними и средними </t>
  </si>
  <si>
    <t>итого местный</t>
  </si>
  <si>
    <t>статьи</t>
  </si>
  <si>
    <t>трудоустройство 226</t>
  </si>
  <si>
    <t>СОШ № 1</t>
  </si>
  <si>
    <t>СОШ № 2</t>
  </si>
  <si>
    <t>СОШ № 3</t>
  </si>
  <si>
    <t>Саркеловская СОШ</t>
  </si>
  <si>
    <t>Калининская СОШ</t>
  </si>
  <si>
    <t>Красноярская СОШ</t>
  </si>
  <si>
    <t>Камышевская СОШ</t>
  </si>
  <si>
    <t>Лозновская СОШ</t>
  </si>
  <si>
    <t>Маркинская СОШ</t>
  </si>
  <si>
    <t>Новоцимлянская СОШ</t>
  </si>
  <si>
    <t>Паршиковская СОШ</t>
  </si>
  <si>
    <t>Антоновская  ООШ</t>
  </si>
  <si>
    <t>Дубравненская ООШ</t>
  </si>
  <si>
    <t>Лозновская ООШ</t>
  </si>
  <si>
    <t>Хорошевская ООШ</t>
  </si>
  <si>
    <t xml:space="preserve">ВСОШ </t>
  </si>
  <si>
    <t>907 0702 5222601 611 Финансирование субвенций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</si>
  <si>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интернет</t>
  </si>
  <si>
    <t>лето</t>
  </si>
  <si>
    <t>СВОД(00+95+96+97)</t>
  </si>
  <si>
    <t>2013год  Субвенции  ШКОЛЫ</t>
  </si>
  <si>
    <t>2013год Местный бюджет  ШКОЛЫ</t>
  </si>
  <si>
    <t>негативное воздействие на окружающую среду</t>
  </si>
  <si>
    <t>техобслуживание электрооборудования 29 006 р*12=</t>
  </si>
  <si>
    <t>техобслуживание электрооборудования 2075*12=</t>
  </si>
  <si>
    <t>психдиспансер</t>
  </si>
  <si>
    <t>наркологдиспансер</t>
  </si>
  <si>
    <t>т/о учета узла газа</t>
  </si>
  <si>
    <t>руб *3мес *1,055 =</t>
  </si>
  <si>
    <t xml:space="preserve">руб * 12 мес   = </t>
  </si>
  <si>
    <t xml:space="preserve">чел *10,85 руб * 96 дн (51дн+45дн)  = </t>
  </si>
  <si>
    <t>ремонт пожарной сигнализации</t>
  </si>
  <si>
    <t>поверка приборов  КИП и САОГ</t>
  </si>
  <si>
    <t>чистка дымоходов</t>
  </si>
  <si>
    <t>ремонт системы отопления</t>
  </si>
  <si>
    <t>замена насосов</t>
  </si>
  <si>
    <t>замена узла учета</t>
  </si>
  <si>
    <t>испытание лестниц</t>
  </si>
  <si>
    <t>доводчик</t>
  </si>
  <si>
    <t>манометр, приборы учета</t>
  </si>
  <si>
    <t xml:space="preserve">дератизация  </t>
  </si>
  <si>
    <t>26,55 руб *2 рейса*172 дн*чел</t>
  </si>
  <si>
    <t>450 руб *чел</t>
  </si>
  <si>
    <t>обучение по БД по 82 час программе</t>
  </si>
  <si>
    <t>4300 р *чел</t>
  </si>
  <si>
    <t>ШКОЛЫ</t>
  </si>
  <si>
    <t>Норма бензина</t>
  </si>
  <si>
    <t>в том числе:</t>
  </si>
  <si>
    <t>к-во зимних дней</t>
  </si>
  <si>
    <t>в зимнее время (л.)</t>
  </si>
  <si>
    <t>в летнее время (л.)</t>
  </si>
  <si>
    <t>Общая протяженность маршрута в день с учётом обратного пути (км.)</t>
  </si>
  <si>
    <t xml:space="preserve">Число дней функц-ия учреждения </t>
  </si>
  <si>
    <t>к-во летних дней</t>
  </si>
  <si>
    <t xml:space="preserve">Общий пробег в год (км) </t>
  </si>
  <si>
    <t>Расход бензина в год</t>
  </si>
  <si>
    <t xml:space="preserve">по зимним нормам </t>
  </si>
  <si>
    <t xml:space="preserve">по летним нормам </t>
  </si>
  <si>
    <t>Расход масла в год (л.)</t>
  </si>
  <si>
    <t>цена бензина</t>
  </si>
  <si>
    <t>цена масла</t>
  </si>
  <si>
    <t xml:space="preserve">расход в год бензина </t>
  </si>
  <si>
    <t>расход в год масло</t>
  </si>
  <si>
    <t>ГСМ на подвоз к школе</t>
  </si>
  <si>
    <t>Расход бензина по летним нормам</t>
  </si>
  <si>
    <t>расход в год бензина</t>
  </si>
  <si>
    <t>Итого ГСМ на подвоз ЕГЭ</t>
  </si>
  <si>
    <t xml:space="preserve">автобус </t>
  </si>
  <si>
    <t>КАВЗ</t>
  </si>
  <si>
    <t>Итого ГСМ на подвоз к школе</t>
  </si>
  <si>
    <t>Общий пробег в год (км)</t>
  </si>
  <si>
    <t>ПАЗ</t>
  </si>
  <si>
    <t>кухонные работники</t>
  </si>
  <si>
    <t>обслуживание ГЛОНАСС/GPS 500р*12мес</t>
  </si>
  <si>
    <r>
      <t xml:space="preserve">ст 212 "Прочие выплаты"     </t>
    </r>
    <r>
      <rPr>
        <sz val="10"/>
        <rFont val="Arial Cyr"/>
        <family val="0"/>
      </rPr>
      <t xml:space="preserve"> суточные олимпиада г.Ростов</t>
    </r>
  </si>
  <si>
    <t>подвоз угля</t>
  </si>
  <si>
    <t xml:space="preserve">подвоз угля ( 16,5 т )  6 рейса * 2 * 15,6руб * 45 км =  8,9   т.р *1,036 = </t>
  </si>
  <si>
    <t>питание уч-ся олимпиада г.Ростов</t>
  </si>
  <si>
    <t>руб *11 мес =</t>
  </si>
  <si>
    <t>Итого по учреждению</t>
  </si>
  <si>
    <t>24.12.2012г</t>
  </si>
  <si>
    <t>2013год  ФСР  свод (96+97 фонд+кл рук) ШКОЛЫ</t>
  </si>
  <si>
    <t>Заведующий отделом образования</t>
  </si>
  <si>
    <t>Администрации Цимлянского района</t>
  </si>
  <si>
    <t>Осадченко Н.Т._______________</t>
  </si>
  <si>
    <t>ремонт спортзала</t>
  </si>
  <si>
    <t>компьютер</t>
  </si>
  <si>
    <t>обл+мест</t>
  </si>
  <si>
    <t>пожарка</t>
  </si>
  <si>
    <t>инт+компьт</t>
  </si>
  <si>
    <t>светильники</t>
  </si>
  <si>
    <t>организация питания (безопасное колесо)</t>
  </si>
  <si>
    <t>ГСМ</t>
  </si>
  <si>
    <t>ПСД молниезащиты</t>
  </si>
  <si>
    <t>ГСМ подвоз летний отдых</t>
  </si>
  <si>
    <t>ГСМ экскурсии летний отдых</t>
  </si>
  <si>
    <t>штраф (молниезащита)</t>
  </si>
  <si>
    <t>достоверность сметной стоимости пож.резервуара</t>
  </si>
  <si>
    <t>типографские услуги (не строгой отчетности)</t>
  </si>
  <si>
    <t>технадзор ремонта крыши</t>
  </si>
  <si>
    <t>проверка приборов УУТЭ</t>
  </si>
  <si>
    <t>план эвакуации</t>
  </si>
  <si>
    <t>знак ПБ</t>
  </si>
  <si>
    <t>замеры сопротивления эл.оборудования</t>
  </si>
  <si>
    <t>аптечка автобусная</t>
  </si>
  <si>
    <t>акты по срезам дерев.конструкций</t>
  </si>
  <si>
    <t>обследование вентил.каналов в пищеблоке</t>
  </si>
  <si>
    <t>ремонт подвала</t>
  </si>
  <si>
    <t>замена окон</t>
  </si>
  <si>
    <t>малокомп</t>
  </si>
  <si>
    <t>00 фонд</t>
  </si>
  <si>
    <t>субвенции</t>
  </si>
  <si>
    <t>кл. рук-во</t>
  </si>
  <si>
    <t>повыш.с 01.09 96фонд</t>
  </si>
  <si>
    <t>повыш.с 01.09 97фонд</t>
  </si>
  <si>
    <t>трафик 96</t>
  </si>
  <si>
    <t>трафик 97</t>
  </si>
  <si>
    <t>лето 96</t>
  </si>
  <si>
    <t>лето 97</t>
  </si>
  <si>
    <t>труд-во</t>
  </si>
  <si>
    <t>спортобор 96</t>
  </si>
  <si>
    <t>спортобор 97</t>
  </si>
  <si>
    <t>спортинвен 96</t>
  </si>
  <si>
    <t>спортинвен 97</t>
  </si>
  <si>
    <t>ПСД 96</t>
  </si>
  <si>
    <t>ПСД 00</t>
  </si>
  <si>
    <t>среда 96</t>
  </si>
  <si>
    <t>среда 97</t>
  </si>
  <si>
    <t>всеобуч 96</t>
  </si>
  <si>
    <t>всеобуч 97</t>
  </si>
  <si>
    <t>резерв</t>
  </si>
  <si>
    <t>общеобраз</t>
  </si>
  <si>
    <t>малокомпл</t>
  </si>
  <si>
    <t>помпа</t>
  </si>
  <si>
    <t xml:space="preserve">счетчик </t>
  </si>
  <si>
    <t>достоверность сметы ПСД спортзала</t>
  </si>
  <si>
    <t xml:space="preserve">обслуживание ГЛОНАСС/GPS </t>
  </si>
  <si>
    <r>
      <t xml:space="preserve">2013 год </t>
    </r>
    <r>
      <rPr>
        <sz val="11"/>
        <rFont val="Arial Cyr"/>
        <family val="0"/>
      </rPr>
      <t>(по состоянию на 01.10.2013)</t>
    </r>
  </si>
  <si>
    <r>
      <t>2014 год</t>
    </r>
    <r>
      <rPr>
        <sz val="11"/>
        <rFont val="Arial Cyr"/>
        <family val="0"/>
      </rPr>
      <t xml:space="preserve"> ( без индексации матзатрат)</t>
    </r>
  </si>
  <si>
    <r>
      <t>2014 год</t>
    </r>
    <r>
      <rPr>
        <sz val="11"/>
        <rFont val="Arial Cyr"/>
        <family val="0"/>
      </rPr>
      <t xml:space="preserve"> (матзатрат на 5%)</t>
    </r>
  </si>
  <si>
    <t xml:space="preserve">мусор  </t>
  </si>
  <si>
    <t>энергетические паспорта</t>
  </si>
  <si>
    <t>установка молниезащиты</t>
  </si>
  <si>
    <t>1505 чел</t>
  </si>
  <si>
    <t>1410 чел</t>
  </si>
  <si>
    <t>техобслуживание  Вывода радиосигнала на пульт "О1" 500руб *12*16</t>
  </si>
  <si>
    <t>ПСД на ограждение территории и достоверность см.докум</t>
  </si>
  <si>
    <r>
      <rPr>
        <b/>
        <sz val="12"/>
        <rFont val="Arial Cyr"/>
        <family val="0"/>
      </rPr>
      <t>907 0702 5222601  611</t>
    </r>
    <r>
      <rPr>
        <b/>
        <sz val="10"/>
        <rFont val="Arial Cyr"/>
        <family val="0"/>
      </rPr>
      <t xml:space="preserve"> Финансирование субвенций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  </r>
  </si>
  <si>
    <t>План финансово-хозяйственной деятельности на 2014 год</t>
  </si>
  <si>
    <t xml:space="preserve">техобслуживание пожарной сигнализации </t>
  </si>
  <si>
    <t>обслуживание котельных свыше 100 КВт</t>
  </si>
  <si>
    <t>ремонт водопровода Калининской</t>
  </si>
  <si>
    <t>двери спортзала лицей № 1</t>
  </si>
  <si>
    <t>замеры сопротивления эл. оборудования</t>
  </si>
  <si>
    <t>питание летний отдых 29 чел*21дн*126,51</t>
  </si>
  <si>
    <t>чел * 126,51руб * 21дн =</t>
  </si>
  <si>
    <t>чел*166дн*12,5р  =</t>
  </si>
  <si>
    <t xml:space="preserve">ГСМ на подвоз ЕГЭ </t>
  </si>
  <si>
    <t>Число дней (11 дней)</t>
  </si>
  <si>
    <t xml:space="preserve">ГСМ на подвоз учебно-полевые сборы </t>
  </si>
  <si>
    <t>Число дней (5 дней)</t>
  </si>
  <si>
    <t>километраж в г.Морозовск с учетом обратного пути</t>
  </si>
  <si>
    <t>Итого ГСМ на учебно-полевые сборы</t>
  </si>
  <si>
    <t xml:space="preserve"> техн.перевооружение газа спортзала Маркинской</t>
  </si>
  <si>
    <t xml:space="preserve">техн.перевооружение газа спортзала </t>
  </si>
  <si>
    <t>изготовление печати</t>
  </si>
  <si>
    <t>изготовление техпаспорта на котельную</t>
  </si>
  <si>
    <t>ПСД, достоверность сметы на ограждение территории</t>
  </si>
  <si>
    <t xml:space="preserve">аттестация раб мест </t>
  </si>
  <si>
    <t xml:space="preserve">охранные услуги  </t>
  </si>
  <si>
    <t>907 0702  19 1  2262 612 Мероприятие по проведению обязательного энергетического обследования в рамках подпрограммы «Энергосбережение и повышение энергетической эффективности Цимлянского района»  муниципальной программы Цимлянского района «Энергоэффективность и развитие энергетики»</t>
  </si>
  <si>
    <t>907 0702 08 2 7327 612 фонд 96 (областной бюджет) 93,3 %</t>
  </si>
  <si>
    <t xml:space="preserve"> Мероприятия по устройству ограждений территорий муниципальных общеобразовательных учреждений</t>
  </si>
  <si>
    <t>907 0702 08 2 0327 612 фонд 97 (местный бюджет) 6,7%</t>
  </si>
  <si>
    <t xml:space="preserve">907 0707 04 3  7220 612 фонд 96 (областной бюджет) </t>
  </si>
  <si>
    <t xml:space="preserve">907 0707 04 3 0220 612 фонд 97 (местный бюджет) </t>
  </si>
  <si>
    <t xml:space="preserve"> Организация отдыха детей в каникулярное время</t>
  </si>
  <si>
    <t xml:space="preserve">  Оплата услуг доступа к сети интернет МОУ</t>
  </si>
  <si>
    <r>
      <t xml:space="preserve">ст 226 "Прочие услуги"  </t>
    </r>
    <r>
      <rPr>
        <sz val="10"/>
        <rFont val="Arial Cyr"/>
        <family val="0"/>
      </rPr>
      <t>энергетический паспорт</t>
    </r>
  </si>
  <si>
    <t>907 0707  08 3 2161  611  Профилактика правонарушений в Цимлянском районе  на 2011-2013 годы (Организация временного трудоустройства несовершеннолетних во время летних каникул)</t>
  </si>
  <si>
    <t>ГСМ подвоз Неклиновка летний отдых</t>
  </si>
  <si>
    <t>т/о  Вывода радиосигнала на пульт "О1" 500руб *12</t>
  </si>
  <si>
    <t>замена счетчиков</t>
  </si>
  <si>
    <t xml:space="preserve">ст 212 "Прочие выплаты"     </t>
  </si>
  <si>
    <t>технологическое присоединение к эл.сетям</t>
  </si>
  <si>
    <t>защита персональных данных ЕГЭ</t>
  </si>
  <si>
    <t xml:space="preserve">по штатному на 01.10.2013г </t>
  </si>
  <si>
    <t>по штатному на 01.10.2013г</t>
  </si>
  <si>
    <t>стандарты 4 мес с 01.09.2014г</t>
  </si>
  <si>
    <t>пособие до 3-х лет</t>
  </si>
  <si>
    <t>на повышение заработной платы педработникам</t>
  </si>
  <si>
    <t>кл  10 час * 4 мес</t>
  </si>
  <si>
    <t>ИТОГО</t>
  </si>
  <si>
    <t xml:space="preserve">питание </t>
  </si>
  <si>
    <t>Реализация проекта  Всеобуч по плаванию</t>
  </si>
  <si>
    <t>907 0702 02 1 7311 612 фонд 96 (областной бюджет) 93,3%</t>
  </si>
  <si>
    <t>907 0702 02 1 0311 612 фонд 96 (местный  бюджет) 6,7%</t>
  </si>
  <si>
    <t>907 0702      02 1 7345  612 фонд 96 (областной бюджет) 93,3 %</t>
  </si>
  <si>
    <t>907 0702  02 1 0345  612 фонд 97 (местный бюджет) 6,7 %</t>
  </si>
  <si>
    <t>дополнительный ФОТ на замещение курсы повышения</t>
  </si>
  <si>
    <t>постановка на учет автобусов 4 ед *3,0т.р =12,0</t>
  </si>
  <si>
    <t>23.12.2013г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</si>
</sst>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  <numFmt numFmtId="167" formatCode="_-* #,##0.0_р_._-;\-* #,##0.0_р_._-;_-* &quot;-&quot;?_р_._-;_-@_-"/>
    <numFmt numFmtId="168" formatCode="_-* #,##0.000_р_._-;\-* #,##0.000_р_._-;_-* &quot;-&quot;?_р_._-;_-@_-"/>
    <numFmt numFmtId="169" formatCode="_-* #,##0.00_р_._-;\-* #,##0.00_р_._-;_-* &quot;-&quot;?_р_._-;_-@_-"/>
    <numFmt numFmtId="170" formatCode="0.0000"/>
    <numFmt numFmtId="171" formatCode="0.000000"/>
    <numFmt numFmtId="172" formatCode="0.00000"/>
    <numFmt numFmtId="173" formatCode="#,##0.0"/>
    <numFmt numFmtId="174" formatCode="#,##0.00_ ;\-#,##0.00\ "/>
    <numFmt numFmtId="175" formatCode="_-* #,##0.000_р_._-;\-* #,##0.000_р_._-;_-* &quot;-&quot;???_р_._-;_-@_-"/>
    <numFmt numFmtId="176" formatCode="0.0000000"/>
    <numFmt numFmtId="177" formatCode="0.00000000"/>
    <numFmt numFmtId="178" formatCode="_-* #,##0_р_._-;\-* #,##0_р_._-;_-* &quot;-&quot;?_р_._-;_-@_-"/>
    <numFmt numFmtId="179" formatCode="[$-FC19]d\ mmmm\ yyyy\ &quot;г.&quot;"/>
    <numFmt numFmtId="180" formatCode="0.0%"/>
    <numFmt numFmtId="181" formatCode="_-* #,##0_р_._-;\-* #,##0_р_._-;_-* &quot;-&quot;??_р_._-;_-@_-"/>
    <numFmt numFmtId="182" formatCode="#,##0.000"/>
    <numFmt numFmtId="183" formatCode="_-* #,##0.000_р_._-;\-* #,##0.000_р_._-;_-* &quot;-&quot;??_р_._-;_-@_-"/>
  </numFmts>
  <fonts count="60">
    <font>
      <sz val="10"/>
      <name val="Arial Cyr"/>
      <family val="0"/>
    </font>
    <font>
      <sz val="12"/>
      <color indexed="8"/>
      <name val="Calibri"/>
      <family val="2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color indexed="5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name val="Arial Cyr"/>
      <family val="0"/>
    </font>
    <font>
      <b/>
      <sz val="12"/>
      <color indexed="10"/>
      <name val="Arial Cyr"/>
      <family val="0"/>
    </font>
    <font>
      <b/>
      <u val="single"/>
      <sz val="12"/>
      <name val="Arial Cyr"/>
      <family val="0"/>
    </font>
    <font>
      <b/>
      <sz val="11"/>
      <color indexed="10"/>
      <name val="Arial Cyr"/>
      <family val="0"/>
    </font>
    <font>
      <sz val="20"/>
      <name val="Arial Cyr"/>
      <family val="0"/>
    </font>
    <font>
      <b/>
      <sz val="10"/>
      <color indexed="36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32" borderId="0" xfId="0" applyFont="1" applyFill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164" fontId="5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43" fontId="0" fillId="0" borderId="11" xfId="58" applyFont="1" applyBorder="1" applyAlignment="1">
      <alignment/>
    </xf>
    <xf numFmtId="164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43" fontId="5" fillId="0" borderId="11" xfId="58" applyFont="1" applyBorder="1" applyAlignment="1">
      <alignment/>
    </xf>
    <xf numFmtId="166" fontId="0" fillId="0" borderId="10" xfId="58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5" fillId="0" borderId="10" xfId="58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3" fontId="0" fillId="0" borderId="10" xfId="0" applyNumberFormat="1" applyBorder="1" applyAlignment="1">
      <alignment/>
    </xf>
    <xf numFmtId="43" fontId="5" fillId="0" borderId="10" xfId="58" applyNumberFormat="1" applyFont="1" applyBorder="1" applyAlignment="1">
      <alignment horizontal="center"/>
    </xf>
    <xf numFmtId="4" fontId="0" fillId="0" borderId="10" xfId="58" applyNumberFormat="1" applyFont="1" applyBorder="1" applyAlignment="1">
      <alignment horizontal="center"/>
    </xf>
    <xf numFmtId="4" fontId="5" fillId="0" borderId="10" xfId="58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6" fontId="16" fillId="0" borderId="0" xfId="58" applyNumberFormat="1" applyFont="1" applyAlignment="1">
      <alignment/>
    </xf>
    <xf numFmtId="0" fontId="16" fillId="32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4" fillId="33" borderId="0" xfId="0" applyFont="1" applyFill="1" applyAlignment="1">
      <alignment/>
    </xf>
    <xf numFmtId="14" fontId="4" fillId="33" borderId="0" xfId="0" applyNumberFormat="1" applyFont="1" applyFill="1" applyAlignment="1">
      <alignment horizontal="center"/>
    </xf>
    <xf numFmtId="0" fontId="2" fillId="0" borderId="10" xfId="0" applyFont="1" applyBorder="1" applyAlignment="1">
      <alignment/>
    </xf>
    <xf numFmtId="43" fontId="2" fillId="0" borderId="10" xfId="58" applyFont="1" applyBorder="1" applyAlignment="1">
      <alignment horizontal="center"/>
    </xf>
    <xf numFmtId="166" fontId="2" fillId="0" borderId="10" xfId="58" applyNumberFormat="1" applyFont="1" applyBorder="1" applyAlignment="1">
      <alignment horizontal="center"/>
    </xf>
    <xf numFmtId="0" fontId="2" fillId="32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3" fontId="4" fillId="0" borderId="10" xfId="58" applyFont="1" applyBorder="1" applyAlignment="1">
      <alignment horizontal="center"/>
    </xf>
    <xf numFmtId="173" fontId="0" fillId="0" borderId="0" xfId="0" applyNumberFormat="1" applyAlignment="1">
      <alignment/>
    </xf>
    <xf numFmtId="173" fontId="12" fillId="0" borderId="0" xfId="0" applyNumberFormat="1" applyFont="1" applyAlignment="1">
      <alignment/>
    </xf>
    <xf numFmtId="164" fontId="0" fillId="0" borderId="13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4" borderId="0" xfId="0" applyFont="1" applyFill="1" applyAlignment="1">
      <alignment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74" fontId="7" fillId="0" borderId="10" xfId="58" applyNumberFormat="1" applyFont="1" applyBorder="1" applyAlignment="1">
      <alignment horizontal="center"/>
    </xf>
    <xf numFmtId="0" fontId="7" fillId="32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174" fontId="18" fillId="0" borderId="10" xfId="58" applyNumberFormat="1" applyFont="1" applyBorder="1" applyAlignment="1">
      <alignment horizontal="center"/>
    </xf>
    <xf numFmtId="0" fontId="18" fillId="0" borderId="13" xfId="0" applyFont="1" applyBorder="1" applyAlignment="1">
      <alignment/>
    </xf>
    <xf numFmtId="166" fontId="18" fillId="0" borderId="0" xfId="58" applyNumberFormat="1" applyFont="1" applyBorder="1" applyAlignment="1">
      <alignment horizontal="center"/>
    </xf>
    <xf numFmtId="43" fontId="18" fillId="0" borderId="0" xfId="58" applyNumberFormat="1" applyFont="1" applyBorder="1" applyAlignment="1">
      <alignment horizontal="center"/>
    </xf>
    <xf numFmtId="0" fontId="18" fillId="0" borderId="13" xfId="0" applyFont="1" applyFill="1" applyBorder="1" applyAlignment="1">
      <alignment/>
    </xf>
    <xf numFmtId="0" fontId="7" fillId="0" borderId="0" xfId="0" applyFont="1" applyAlignment="1">
      <alignment/>
    </xf>
    <xf numFmtId="0" fontId="0" fillId="34" borderId="14" xfId="0" applyFill="1" applyBorder="1" applyAlignment="1">
      <alignment textRotation="90"/>
    </xf>
    <xf numFmtId="164" fontId="0" fillId="0" borderId="0" xfId="0" applyNumberFormat="1" applyFill="1" applyBorder="1" applyAlignment="1">
      <alignment/>
    </xf>
    <xf numFmtId="0" fontId="0" fillId="32" borderId="10" xfId="0" applyFill="1" applyBorder="1" applyAlignment="1">
      <alignment/>
    </xf>
    <xf numFmtId="174" fontId="0" fillId="0" borderId="10" xfId="0" applyNumberFormat="1" applyBorder="1" applyAlignment="1">
      <alignment/>
    </xf>
    <xf numFmtId="0" fontId="12" fillId="32" borderId="10" xfId="0" applyFont="1" applyFill="1" applyBorder="1" applyAlignment="1">
      <alignment/>
    </xf>
    <xf numFmtId="4" fontId="12" fillId="32" borderId="10" xfId="58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/>
    </xf>
    <xf numFmtId="43" fontId="19" fillId="32" borderId="10" xfId="58" applyFont="1" applyFill="1" applyBorder="1" applyAlignment="1">
      <alignment horizontal="center"/>
    </xf>
    <xf numFmtId="43" fontId="19" fillId="0" borderId="10" xfId="58" applyFont="1" applyFill="1" applyBorder="1" applyAlignment="1">
      <alignment/>
    </xf>
    <xf numFmtId="43" fontId="19" fillId="0" borderId="11" xfId="58" applyFont="1" applyFill="1" applyBorder="1" applyAlignment="1">
      <alignment/>
    </xf>
    <xf numFmtId="43" fontId="2" fillId="0" borderId="11" xfId="58" applyFont="1" applyBorder="1" applyAlignment="1">
      <alignment/>
    </xf>
    <xf numFmtId="0" fontId="21" fillId="32" borderId="10" xfId="0" applyFont="1" applyFill="1" applyBorder="1" applyAlignment="1">
      <alignment/>
    </xf>
    <xf numFmtId="174" fontId="21" fillId="32" borderId="10" xfId="58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2" fillId="34" borderId="0" xfId="0" applyFont="1" applyFill="1" applyAlignment="1">
      <alignment horizontal="center" wrapText="1"/>
    </xf>
    <xf numFmtId="0" fontId="0" fillId="0" borderId="13" xfId="0" applyFill="1" applyBorder="1" applyAlignment="1">
      <alignment/>
    </xf>
    <xf numFmtId="4" fontId="0" fillId="0" borderId="0" xfId="0" applyNumberFormat="1" applyBorder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64" fontId="0" fillId="32" borderId="10" xfId="0" applyNumberFormat="1" applyFill="1" applyBorder="1" applyAlignment="1">
      <alignment/>
    </xf>
    <xf numFmtId="0" fontId="0" fillId="0" borderId="0" xfId="0" applyFont="1" applyFill="1" applyAlignment="1">
      <alignment horizontal="left" wrapText="1"/>
    </xf>
    <xf numFmtId="164" fontId="5" fillId="0" borderId="0" xfId="0" applyNumberFormat="1" applyFont="1" applyFill="1" applyAlignment="1">
      <alignment horizontal="center" wrapText="1"/>
    </xf>
    <xf numFmtId="164" fontId="11" fillId="0" borderId="10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0" xfId="0" applyNumberFormat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173" fontId="0" fillId="0" borderId="10" xfId="0" applyNumberFormat="1" applyFont="1" applyFill="1" applyBorder="1" applyAlignment="1">
      <alignment horizontal="center" wrapText="1"/>
    </xf>
    <xf numFmtId="173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 horizontal="center" wrapText="1"/>
    </xf>
    <xf numFmtId="173" fontId="0" fillId="0" borderId="10" xfId="0" applyNumberFormat="1" applyFont="1" applyBorder="1" applyAlignment="1">
      <alignment horizontal="center"/>
    </xf>
    <xf numFmtId="166" fontId="12" fillId="0" borderId="10" xfId="58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173" fontId="0" fillId="0" borderId="10" xfId="58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166" fontId="13" fillId="0" borderId="10" xfId="58" applyNumberFormat="1" applyFont="1" applyBorder="1" applyAlignment="1">
      <alignment/>
    </xf>
    <xf numFmtId="0" fontId="12" fillId="0" borderId="10" xfId="0" applyFont="1" applyBorder="1" applyAlignment="1">
      <alignment/>
    </xf>
    <xf numFmtId="167" fontId="16" fillId="32" borderId="10" xfId="0" applyNumberFormat="1" applyFont="1" applyFill="1" applyBorder="1" applyAlignment="1">
      <alignment/>
    </xf>
    <xf numFmtId="173" fontId="12" fillId="0" borderId="10" xfId="0" applyNumberFormat="1" applyFont="1" applyBorder="1" applyAlignment="1">
      <alignment/>
    </xf>
    <xf numFmtId="0" fontId="2" fillId="34" borderId="0" xfId="0" applyFont="1" applyFill="1" applyAlignment="1">
      <alignment wrapText="1"/>
    </xf>
    <xf numFmtId="0" fontId="2" fillId="0" borderId="15" xfId="0" applyFont="1" applyBorder="1" applyAlignment="1">
      <alignment wrapText="1"/>
    </xf>
    <xf numFmtId="166" fontId="11" fillId="0" borderId="10" xfId="0" applyNumberFormat="1" applyFont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5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164" fontId="0" fillId="32" borderId="10" xfId="0" applyNumberFormat="1" applyFont="1" applyFill="1" applyBorder="1" applyAlignment="1">
      <alignment horizontal="center"/>
    </xf>
    <xf numFmtId="0" fontId="14" fillId="32" borderId="0" xfId="0" applyFont="1" applyFill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66" fontId="18" fillId="0" borderId="0" xfId="58" applyNumberFormat="1" applyFont="1" applyFill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166" fontId="4" fillId="0" borderId="0" xfId="58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166" fontId="1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173" fontId="23" fillId="0" borderId="12" xfId="0" applyNumberFormat="1" applyFont="1" applyFill="1" applyBorder="1" applyAlignment="1">
      <alignment wrapText="1"/>
    </xf>
    <xf numFmtId="173" fontId="0" fillId="0" borderId="10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13" fillId="0" borderId="10" xfId="0" applyNumberFormat="1" applyFont="1" applyBorder="1" applyAlignment="1">
      <alignment/>
    </xf>
    <xf numFmtId="173" fontId="13" fillId="0" borderId="0" xfId="0" applyNumberFormat="1" applyFont="1" applyAlignment="1">
      <alignment/>
    </xf>
    <xf numFmtId="173" fontId="13" fillId="0" borderId="10" xfId="0" applyNumberFormat="1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 horizontal="center" wrapText="1"/>
    </xf>
    <xf numFmtId="173" fontId="24" fillId="0" borderId="10" xfId="0" applyNumberFormat="1" applyFont="1" applyFill="1" applyBorder="1" applyAlignment="1">
      <alignment wrapText="1"/>
    </xf>
    <xf numFmtId="173" fontId="13" fillId="0" borderId="12" xfId="0" applyNumberFormat="1" applyFont="1" applyFill="1" applyBorder="1" applyAlignment="1">
      <alignment wrapText="1"/>
    </xf>
    <xf numFmtId="173" fontId="13" fillId="0" borderId="10" xfId="0" applyNumberFormat="1" applyFont="1" applyFill="1" applyBorder="1" applyAlignment="1">
      <alignment wrapText="1"/>
    </xf>
    <xf numFmtId="173" fontId="24" fillId="0" borderId="12" xfId="0" applyNumberFormat="1" applyFont="1" applyFill="1" applyBorder="1" applyAlignment="1">
      <alignment wrapText="1"/>
    </xf>
    <xf numFmtId="173" fontId="13" fillId="0" borderId="10" xfId="0" applyNumberFormat="1" applyFont="1" applyBorder="1" applyAlignment="1">
      <alignment horizontal="right"/>
    </xf>
    <xf numFmtId="164" fontId="12" fillId="0" borderId="0" xfId="0" applyNumberFormat="1" applyFont="1" applyFill="1" applyAlignment="1">
      <alignment/>
    </xf>
    <xf numFmtId="164" fontId="12" fillId="32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164" fontId="12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wrapText="1"/>
    </xf>
    <xf numFmtId="164" fontId="12" fillId="32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right"/>
    </xf>
    <xf numFmtId="173" fontId="12" fillId="0" borderId="10" xfId="0" applyNumberFormat="1" applyFont="1" applyBorder="1" applyAlignment="1">
      <alignment/>
    </xf>
    <xf numFmtId="173" fontId="12" fillId="0" borderId="12" xfId="0" applyNumberFormat="1" applyFont="1" applyFill="1" applyBorder="1" applyAlignment="1">
      <alignment horizontal="center" wrapText="1"/>
    </xf>
    <xf numFmtId="173" fontId="12" fillId="0" borderId="10" xfId="0" applyNumberFormat="1" applyFont="1" applyBorder="1" applyAlignment="1">
      <alignment/>
    </xf>
    <xf numFmtId="166" fontId="0" fillId="0" borderId="0" xfId="58" applyNumberFormat="1" applyFont="1" applyFill="1" applyAlignment="1">
      <alignment/>
    </xf>
    <xf numFmtId="166" fontId="12" fillId="0" borderId="0" xfId="58" applyNumberFormat="1" applyFont="1" applyFill="1" applyAlignment="1">
      <alignment/>
    </xf>
    <xf numFmtId="0" fontId="0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58" applyNumberFormat="1" applyFont="1" applyFill="1" applyAlignment="1">
      <alignment/>
    </xf>
    <xf numFmtId="173" fontId="12" fillId="0" borderId="0" xfId="58" applyNumberFormat="1" applyFont="1" applyFill="1" applyAlignment="1">
      <alignment/>
    </xf>
    <xf numFmtId="173" fontId="25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center" wrapText="1"/>
    </xf>
    <xf numFmtId="0" fontId="26" fillId="0" borderId="0" xfId="0" applyFont="1" applyFill="1" applyAlignment="1">
      <alignment/>
    </xf>
    <xf numFmtId="182" fontId="12" fillId="0" borderId="0" xfId="0" applyNumberFormat="1" applyFont="1" applyFill="1" applyAlignment="1">
      <alignment/>
    </xf>
    <xf numFmtId="182" fontId="25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0" fontId="19" fillId="0" borderId="14" xfId="0" applyFont="1" applyFill="1" applyBorder="1" applyAlignment="1">
      <alignment textRotation="90"/>
    </xf>
    <xf numFmtId="0" fontId="19" fillId="0" borderId="16" xfId="0" applyFont="1" applyFill="1" applyBorder="1" applyAlignment="1">
      <alignment textRotation="90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center" wrapText="1"/>
    </xf>
    <xf numFmtId="0" fontId="0" fillId="32" borderId="0" xfId="0" applyFont="1" applyFill="1" applyAlignment="1">
      <alignment horizontal="left" wrapText="1"/>
    </xf>
    <xf numFmtId="0" fontId="0" fillId="32" borderId="0" xfId="0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32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5" fillId="0" borderId="0" xfId="0" applyNumberFormat="1" applyFont="1" applyFill="1" applyAlignment="1">
      <alignment horizontal="justify" wrapText="1"/>
    </xf>
    <xf numFmtId="0" fontId="5" fillId="0" borderId="0" xfId="0" applyNumberFormat="1" applyFont="1" applyFill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2"/>
  <sheetViews>
    <sheetView view="pageBreakPreview" zoomScaleSheetLayoutView="100" zoomScalePageLayoutView="0" workbookViewId="0" topLeftCell="A19">
      <selection activeCell="B26" sqref="B26"/>
    </sheetView>
  </sheetViews>
  <sheetFormatPr defaultColWidth="9.00390625" defaultRowHeight="12.75"/>
  <cols>
    <col min="1" max="1" width="22.375" style="0" customWidth="1"/>
    <col min="2" max="2" width="16.00390625" style="0" customWidth="1"/>
    <col min="3" max="3" width="12.75390625" style="0" customWidth="1"/>
    <col min="4" max="4" width="14.875" style="0" customWidth="1"/>
    <col min="5" max="5" width="12.75390625" style="0" customWidth="1"/>
    <col min="6" max="6" width="12.25390625" style="0" customWidth="1"/>
    <col min="7" max="7" width="16.125" style="0" customWidth="1"/>
    <col min="8" max="8" width="15.25390625" style="0" customWidth="1"/>
    <col min="9" max="9" width="15.875" style="0" customWidth="1"/>
    <col min="10" max="10" width="13.875" style="0" customWidth="1"/>
    <col min="11" max="11" width="16.25390625" style="0" customWidth="1"/>
    <col min="12" max="12" width="14.625" style="0" customWidth="1"/>
    <col min="13" max="13" width="14.875" style="0" customWidth="1"/>
    <col min="14" max="14" width="13.00390625" style="0" customWidth="1"/>
    <col min="15" max="15" width="15.00390625" style="0" bestFit="1" customWidth="1"/>
    <col min="16" max="16" width="25.25390625" style="0" customWidth="1"/>
  </cols>
  <sheetData>
    <row r="2" spans="1:16" ht="21.75" customHeight="1">
      <c r="A2" s="53" t="s">
        <v>109</v>
      </c>
      <c r="B2" s="53"/>
      <c r="C2" s="53"/>
      <c r="D2" s="54">
        <v>41275</v>
      </c>
      <c r="E2" s="1" t="s">
        <v>84</v>
      </c>
      <c r="F2" s="1"/>
      <c r="G2" s="1"/>
      <c r="H2" s="1"/>
      <c r="I2" s="1"/>
      <c r="J2" s="1"/>
      <c r="K2" s="1"/>
      <c r="L2" s="1"/>
      <c r="M2" s="1"/>
      <c r="O2" s="226" t="s">
        <v>85</v>
      </c>
      <c r="P2" s="78"/>
    </row>
    <row r="3" spans="1:16" ht="75.75" customHeight="1">
      <c r="A3" s="55" t="s">
        <v>86</v>
      </c>
      <c r="B3" s="59">
        <v>211</v>
      </c>
      <c r="C3" s="59">
        <v>212</v>
      </c>
      <c r="D3" s="59">
        <v>213</v>
      </c>
      <c r="E3" s="59">
        <v>221</v>
      </c>
      <c r="F3" s="59">
        <v>222</v>
      </c>
      <c r="G3" s="59">
        <v>223</v>
      </c>
      <c r="H3" s="59">
        <v>225</v>
      </c>
      <c r="I3" s="59">
        <v>226</v>
      </c>
      <c r="J3" s="64">
        <v>290</v>
      </c>
      <c r="K3" s="64">
        <v>310</v>
      </c>
      <c r="L3" s="64">
        <v>340</v>
      </c>
      <c r="M3" s="84">
        <v>800</v>
      </c>
      <c r="N3" s="29" t="s">
        <v>87</v>
      </c>
      <c r="O3" s="227"/>
      <c r="P3" s="55" t="s">
        <v>86</v>
      </c>
    </row>
    <row r="4" spans="1:16" ht="15.75">
      <c r="A4" s="55" t="s">
        <v>88</v>
      </c>
      <c r="B4" s="56">
        <v>46.1</v>
      </c>
      <c r="C4" s="56">
        <v>0.4</v>
      </c>
      <c r="D4" s="56">
        <v>13.9</v>
      </c>
      <c r="E4" s="56">
        <v>0</v>
      </c>
      <c r="F4" s="56">
        <v>6.3</v>
      </c>
      <c r="G4" s="57">
        <v>1417.8</v>
      </c>
      <c r="H4" s="56">
        <v>492.2</v>
      </c>
      <c r="I4" s="56">
        <v>174.9</v>
      </c>
      <c r="J4" s="56">
        <v>338</v>
      </c>
      <c r="K4" s="56">
        <v>0</v>
      </c>
      <c r="L4" s="56">
        <v>526.5</v>
      </c>
      <c r="M4" s="85">
        <f>SUM(B4:L4)</f>
        <v>3016.1</v>
      </c>
      <c r="N4" s="30">
        <v>0</v>
      </c>
      <c r="O4" s="86">
        <f aca="true" t="shared" si="0" ref="O4:O19">N4+M4</f>
        <v>3016.1</v>
      </c>
      <c r="P4" s="55" t="s">
        <v>88</v>
      </c>
    </row>
    <row r="5" spans="1:16" ht="15.75">
      <c r="A5" s="55" t="s">
        <v>89</v>
      </c>
      <c r="B5" s="56">
        <v>96.6</v>
      </c>
      <c r="C5" s="56">
        <v>0.8</v>
      </c>
      <c r="D5" s="56">
        <v>29.2</v>
      </c>
      <c r="E5" s="56">
        <v>0</v>
      </c>
      <c r="F5" s="56">
        <v>6.3</v>
      </c>
      <c r="G5" s="57">
        <v>979.5</v>
      </c>
      <c r="H5" s="56">
        <v>172.7</v>
      </c>
      <c r="I5" s="56">
        <v>237.4</v>
      </c>
      <c r="J5" s="56">
        <v>253.9</v>
      </c>
      <c r="K5" s="56">
        <v>0</v>
      </c>
      <c r="L5" s="56">
        <v>464.6</v>
      </c>
      <c r="M5" s="85">
        <f aca="true" t="shared" si="1" ref="M5:M19">SUM(B5:L5)</f>
        <v>2241.0000000000005</v>
      </c>
      <c r="N5" s="30">
        <v>0</v>
      </c>
      <c r="O5" s="86">
        <f t="shared" si="0"/>
        <v>2241.0000000000005</v>
      </c>
      <c r="P5" s="55" t="s">
        <v>89</v>
      </c>
    </row>
    <row r="6" spans="1:16" ht="15.75">
      <c r="A6" s="58" t="s">
        <v>90</v>
      </c>
      <c r="B6" s="56">
        <v>125</v>
      </c>
      <c r="C6" s="56">
        <v>0.3</v>
      </c>
      <c r="D6" s="56">
        <v>37.7</v>
      </c>
      <c r="E6" s="56">
        <v>0</v>
      </c>
      <c r="F6" s="56">
        <v>1.4</v>
      </c>
      <c r="G6" s="57">
        <v>1867.3</v>
      </c>
      <c r="H6" s="56">
        <v>563.8</v>
      </c>
      <c r="I6" s="56">
        <v>240.3</v>
      </c>
      <c r="J6" s="56">
        <v>707.5</v>
      </c>
      <c r="K6" s="56">
        <v>0</v>
      </c>
      <c r="L6" s="56">
        <v>985.9</v>
      </c>
      <c r="M6" s="85">
        <f t="shared" si="1"/>
        <v>4529.2</v>
      </c>
      <c r="N6" s="88">
        <v>0</v>
      </c>
      <c r="O6" s="86">
        <f t="shared" si="0"/>
        <v>4529.2</v>
      </c>
      <c r="P6" s="58" t="s">
        <v>90</v>
      </c>
    </row>
    <row r="7" spans="1:16" ht="15.75">
      <c r="A7" s="58" t="s">
        <v>91</v>
      </c>
      <c r="B7" s="56">
        <v>23</v>
      </c>
      <c r="C7" s="56">
        <v>0.2</v>
      </c>
      <c r="D7" s="56">
        <v>7</v>
      </c>
      <c r="E7" s="56">
        <v>0</v>
      </c>
      <c r="F7" s="56">
        <v>1.5</v>
      </c>
      <c r="G7" s="57">
        <v>1131.1</v>
      </c>
      <c r="H7" s="56">
        <v>191.9</v>
      </c>
      <c r="I7" s="56">
        <v>149.9</v>
      </c>
      <c r="J7" s="56">
        <v>140.8</v>
      </c>
      <c r="K7" s="56">
        <v>0</v>
      </c>
      <c r="L7" s="56">
        <v>412.8</v>
      </c>
      <c r="M7" s="85">
        <f t="shared" si="1"/>
        <v>2058.2000000000003</v>
      </c>
      <c r="N7" s="88">
        <v>18.1</v>
      </c>
      <c r="O7" s="86">
        <f t="shared" si="0"/>
        <v>2076.3</v>
      </c>
      <c r="P7" s="58" t="s">
        <v>91</v>
      </c>
    </row>
    <row r="8" spans="1:16" ht="15.75">
      <c r="A8" s="58" t="s">
        <v>92</v>
      </c>
      <c r="B8" s="56">
        <v>46.1</v>
      </c>
      <c r="C8" s="56">
        <v>0</v>
      </c>
      <c r="D8" s="56">
        <v>13.9</v>
      </c>
      <c r="E8" s="56">
        <v>0</v>
      </c>
      <c r="F8" s="56">
        <v>0</v>
      </c>
      <c r="G8" s="57">
        <v>969.2</v>
      </c>
      <c r="H8" s="56">
        <v>264.6</v>
      </c>
      <c r="I8" s="56">
        <v>152.6</v>
      </c>
      <c r="J8" s="56">
        <v>46.2</v>
      </c>
      <c r="K8" s="56">
        <v>0</v>
      </c>
      <c r="L8" s="56">
        <v>576.9</v>
      </c>
      <c r="M8" s="85">
        <f t="shared" si="1"/>
        <v>2069.5</v>
      </c>
      <c r="N8" s="88">
        <v>0</v>
      </c>
      <c r="O8" s="86">
        <f t="shared" si="0"/>
        <v>2069.5</v>
      </c>
      <c r="P8" s="58" t="s">
        <v>92</v>
      </c>
    </row>
    <row r="9" spans="1:16" ht="15.75">
      <c r="A9" s="58" t="s">
        <v>93</v>
      </c>
      <c r="B9" s="56">
        <v>65.9</v>
      </c>
      <c r="C9" s="56">
        <v>0</v>
      </c>
      <c r="D9" s="56">
        <v>19.9</v>
      </c>
      <c r="E9" s="56">
        <v>0</v>
      </c>
      <c r="F9" s="56">
        <v>0.8</v>
      </c>
      <c r="G9" s="57">
        <v>1154.2</v>
      </c>
      <c r="H9" s="56">
        <v>194.9</v>
      </c>
      <c r="I9" s="56">
        <v>234.1</v>
      </c>
      <c r="J9" s="56">
        <v>104</v>
      </c>
      <c r="K9" s="56">
        <v>0</v>
      </c>
      <c r="L9" s="56">
        <v>1201.4</v>
      </c>
      <c r="M9" s="85">
        <f t="shared" si="1"/>
        <v>2975.2</v>
      </c>
      <c r="N9" s="88">
        <v>27.1</v>
      </c>
      <c r="O9" s="86">
        <f t="shared" si="0"/>
        <v>3002.2999999999997</v>
      </c>
      <c r="P9" s="58" t="s">
        <v>93</v>
      </c>
    </row>
    <row r="10" spans="1:16" ht="15.75">
      <c r="A10" s="58" t="s">
        <v>94</v>
      </c>
      <c r="B10" s="56">
        <v>100</v>
      </c>
      <c r="C10" s="56">
        <v>0</v>
      </c>
      <c r="D10" s="56">
        <v>30.2</v>
      </c>
      <c r="E10" s="56">
        <v>0</v>
      </c>
      <c r="F10" s="56">
        <v>0</v>
      </c>
      <c r="G10" s="57">
        <v>419.7</v>
      </c>
      <c r="H10" s="56">
        <v>225.9</v>
      </c>
      <c r="I10" s="56">
        <v>145.4</v>
      </c>
      <c r="J10" s="56">
        <v>78.5</v>
      </c>
      <c r="K10" s="56">
        <v>0</v>
      </c>
      <c r="L10" s="56">
        <v>671.7</v>
      </c>
      <c r="M10" s="85">
        <f t="shared" si="1"/>
        <v>1671.4</v>
      </c>
      <c r="N10" s="88">
        <v>29</v>
      </c>
      <c r="O10" s="86">
        <f t="shared" si="0"/>
        <v>1700.4</v>
      </c>
      <c r="P10" s="58" t="s">
        <v>94</v>
      </c>
    </row>
    <row r="11" spans="1:16" ht="15.75">
      <c r="A11" s="58" t="s">
        <v>95</v>
      </c>
      <c r="B11" s="56">
        <v>69.6</v>
      </c>
      <c r="C11" s="56">
        <v>0</v>
      </c>
      <c r="D11" s="56">
        <v>21</v>
      </c>
      <c r="E11" s="56">
        <v>0</v>
      </c>
      <c r="F11" s="56">
        <v>0.7</v>
      </c>
      <c r="G11" s="57">
        <v>829</v>
      </c>
      <c r="H11" s="56">
        <v>236.9</v>
      </c>
      <c r="I11" s="56">
        <v>142.7</v>
      </c>
      <c r="J11" s="56">
        <v>40.7</v>
      </c>
      <c r="K11" s="56">
        <v>0</v>
      </c>
      <c r="L11" s="56">
        <v>588.2</v>
      </c>
      <c r="M11" s="85">
        <f t="shared" si="1"/>
        <v>1928.8000000000002</v>
      </c>
      <c r="N11" s="88"/>
      <c r="O11" s="86">
        <f t="shared" si="0"/>
        <v>1928.8000000000002</v>
      </c>
      <c r="P11" s="58" t="s">
        <v>95</v>
      </c>
    </row>
    <row r="12" spans="1:16" ht="15.75">
      <c r="A12" s="58" t="s">
        <v>96</v>
      </c>
      <c r="B12" s="56">
        <v>0</v>
      </c>
      <c r="C12" s="56">
        <v>0.3</v>
      </c>
      <c r="D12" s="56">
        <v>0</v>
      </c>
      <c r="E12" s="56">
        <v>0</v>
      </c>
      <c r="F12" s="56">
        <v>13.7</v>
      </c>
      <c r="G12" s="57">
        <v>398.4</v>
      </c>
      <c r="H12" s="56">
        <v>197</v>
      </c>
      <c r="I12" s="56">
        <v>160.1</v>
      </c>
      <c r="J12" s="56">
        <v>136.6</v>
      </c>
      <c r="K12" s="56">
        <v>0</v>
      </c>
      <c r="L12" s="56">
        <v>916.9</v>
      </c>
      <c r="M12" s="85">
        <f t="shared" si="1"/>
        <v>1823</v>
      </c>
      <c r="N12" s="88">
        <v>0</v>
      </c>
      <c r="O12" s="86">
        <f t="shared" si="0"/>
        <v>1823</v>
      </c>
      <c r="P12" s="58" t="s">
        <v>96</v>
      </c>
    </row>
    <row r="13" spans="1:16" ht="15.75">
      <c r="A13" s="55" t="s">
        <v>97</v>
      </c>
      <c r="B13" s="56">
        <v>74.9</v>
      </c>
      <c r="C13" s="56">
        <v>0</v>
      </c>
      <c r="D13" s="56">
        <v>22.6</v>
      </c>
      <c r="E13" s="56">
        <v>0</v>
      </c>
      <c r="F13" s="56">
        <v>0</v>
      </c>
      <c r="G13" s="57">
        <v>765.4</v>
      </c>
      <c r="H13" s="56">
        <v>197.6</v>
      </c>
      <c r="I13" s="56">
        <v>155.5</v>
      </c>
      <c r="J13" s="56">
        <v>251.5</v>
      </c>
      <c r="K13" s="56">
        <v>0</v>
      </c>
      <c r="L13" s="56">
        <v>764.9</v>
      </c>
      <c r="M13" s="85">
        <f t="shared" si="1"/>
        <v>2232.4</v>
      </c>
      <c r="N13" s="88">
        <v>27.1</v>
      </c>
      <c r="O13" s="86">
        <f t="shared" si="0"/>
        <v>2259.5</v>
      </c>
      <c r="P13" s="55" t="s">
        <v>97</v>
      </c>
    </row>
    <row r="14" spans="1:16" ht="15.75">
      <c r="A14" s="55" t="s">
        <v>98</v>
      </c>
      <c r="B14" s="56">
        <v>23</v>
      </c>
      <c r="C14" s="56">
        <v>0</v>
      </c>
      <c r="D14" s="56">
        <v>7</v>
      </c>
      <c r="E14" s="56">
        <v>0</v>
      </c>
      <c r="F14" s="56">
        <v>0</v>
      </c>
      <c r="G14" s="57">
        <v>515.7</v>
      </c>
      <c r="H14" s="56">
        <v>284.9</v>
      </c>
      <c r="I14" s="56">
        <v>119.9</v>
      </c>
      <c r="J14" s="56">
        <v>69.6</v>
      </c>
      <c r="K14" s="56">
        <v>0</v>
      </c>
      <c r="L14" s="56">
        <v>373.2</v>
      </c>
      <c r="M14" s="85">
        <f t="shared" si="1"/>
        <v>1393.3</v>
      </c>
      <c r="N14" s="88">
        <v>10.9</v>
      </c>
      <c r="O14" s="86">
        <f t="shared" si="0"/>
        <v>1404.2</v>
      </c>
      <c r="P14" s="55" t="s">
        <v>98</v>
      </c>
    </row>
    <row r="15" spans="1:16" ht="15.75">
      <c r="A15" s="55" t="s">
        <v>99</v>
      </c>
      <c r="B15" s="56">
        <v>23.1</v>
      </c>
      <c r="C15" s="56">
        <v>0</v>
      </c>
      <c r="D15" s="56">
        <v>7</v>
      </c>
      <c r="E15" s="56">
        <v>0</v>
      </c>
      <c r="F15" s="56">
        <v>0</v>
      </c>
      <c r="G15" s="57">
        <v>361.2</v>
      </c>
      <c r="H15" s="56">
        <v>76.4</v>
      </c>
      <c r="I15" s="56">
        <v>62.3</v>
      </c>
      <c r="J15" s="56">
        <v>81.3</v>
      </c>
      <c r="K15" s="56">
        <v>10</v>
      </c>
      <c r="L15" s="56">
        <v>109.6</v>
      </c>
      <c r="M15" s="85">
        <f t="shared" si="1"/>
        <v>730.9</v>
      </c>
      <c r="N15" s="88">
        <v>0</v>
      </c>
      <c r="O15" s="86">
        <f t="shared" si="0"/>
        <v>730.9</v>
      </c>
      <c r="P15" s="55" t="s">
        <v>99</v>
      </c>
    </row>
    <row r="16" spans="1:16" ht="15.75">
      <c r="A16" s="55" t="s">
        <v>100</v>
      </c>
      <c r="B16" s="56">
        <v>21</v>
      </c>
      <c r="C16" s="56">
        <v>0</v>
      </c>
      <c r="D16" s="56">
        <v>6.3</v>
      </c>
      <c r="E16" s="56">
        <v>0</v>
      </c>
      <c r="F16" s="56">
        <v>0</v>
      </c>
      <c r="G16" s="57">
        <v>198.3</v>
      </c>
      <c r="H16" s="56">
        <v>91.5</v>
      </c>
      <c r="I16" s="56">
        <v>98.2</v>
      </c>
      <c r="J16" s="56">
        <v>36.9</v>
      </c>
      <c r="K16" s="56">
        <v>0</v>
      </c>
      <c r="L16" s="56">
        <v>194.5</v>
      </c>
      <c r="M16" s="85">
        <f t="shared" si="1"/>
        <v>646.7</v>
      </c>
      <c r="N16" s="88">
        <v>9.1</v>
      </c>
      <c r="O16" s="86">
        <f t="shared" si="0"/>
        <v>655.8000000000001</v>
      </c>
      <c r="P16" s="55" t="s">
        <v>100</v>
      </c>
    </row>
    <row r="17" spans="1:16" ht="15.75">
      <c r="A17" s="55" t="s">
        <v>101</v>
      </c>
      <c r="B17" s="56">
        <v>23.1</v>
      </c>
      <c r="C17" s="56">
        <v>0</v>
      </c>
      <c r="D17" s="56">
        <v>7</v>
      </c>
      <c r="E17" s="56">
        <v>0</v>
      </c>
      <c r="F17" s="56">
        <v>0</v>
      </c>
      <c r="G17" s="57">
        <v>310.5</v>
      </c>
      <c r="H17" s="56">
        <v>98.5</v>
      </c>
      <c r="I17" s="56">
        <v>66.8</v>
      </c>
      <c r="J17" s="56">
        <v>15.5</v>
      </c>
      <c r="K17" s="56">
        <v>0</v>
      </c>
      <c r="L17" s="56">
        <v>79</v>
      </c>
      <c r="M17" s="85">
        <f t="shared" si="1"/>
        <v>600.4000000000001</v>
      </c>
      <c r="N17" s="88">
        <v>0</v>
      </c>
      <c r="O17" s="86">
        <f t="shared" si="0"/>
        <v>600.4000000000001</v>
      </c>
      <c r="P17" s="55" t="s">
        <v>101</v>
      </c>
    </row>
    <row r="18" spans="1:16" ht="15.75">
      <c r="A18" s="55" t="s">
        <v>102</v>
      </c>
      <c r="B18" s="56">
        <v>23.1</v>
      </c>
      <c r="C18" s="56">
        <v>0</v>
      </c>
      <c r="D18" s="56">
        <v>7</v>
      </c>
      <c r="E18" s="56">
        <v>0</v>
      </c>
      <c r="F18" s="56">
        <v>0</v>
      </c>
      <c r="G18" s="57">
        <v>204.8</v>
      </c>
      <c r="H18" s="56">
        <v>62.2</v>
      </c>
      <c r="I18" s="56">
        <v>60</v>
      </c>
      <c r="J18" s="56">
        <v>30.8</v>
      </c>
      <c r="K18" s="56">
        <v>60</v>
      </c>
      <c r="L18" s="56">
        <v>95.9</v>
      </c>
      <c r="M18" s="85">
        <f t="shared" si="1"/>
        <v>543.8000000000001</v>
      </c>
      <c r="N18" s="88">
        <v>0</v>
      </c>
      <c r="O18" s="86">
        <f t="shared" si="0"/>
        <v>543.8000000000001</v>
      </c>
      <c r="P18" s="55" t="s">
        <v>102</v>
      </c>
    </row>
    <row r="19" spans="1:16" ht="15.75">
      <c r="A19" s="55" t="s">
        <v>103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7">
        <v>282</v>
      </c>
      <c r="H19" s="56">
        <v>99.1</v>
      </c>
      <c r="I19" s="56">
        <v>76.4</v>
      </c>
      <c r="J19" s="56">
        <v>49.1</v>
      </c>
      <c r="K19" s="56">
        <v>0</v>
      </c>
      <c r="L19" s="56">
        <v>78.5</v>
      </c>
      <c r="M19" s="85">
        <f t="shared" si="1"/>
        <v>585.1</v>
      </c>
      <c r="N19" s="30">
        <v>0</v>
      </c>
      <c r="O19" s="86">
        <f t="shared" si="0"/>
        <v>585.1</v>
      </c>
      <c r="P19" s="55" t="s">
        <v>103</v>
      </c>
    </row>
    <row r="20" spans="1:16" ht="15.75">
      <c r="A20" s="59" t="s">
        <v>73</v>
      </c>
      <c r="B20" s="60">
        <f aca="true" t="shared" si="2" ref="B20:M20">SUM(B4:B19)</f>
        <v>760.5000000000001</v>
      </c>
      <c r="C20" s="60">
        <f t="shared" si="2"/>
        <v>2</v>
      </c>
      <c r="D20" s="60">
        <f t="shared" si="2"/>
        <v>229.70000000000002</v>
      </c>
      <c r="E20" s="60">
        <f t="shared" si="2"/>
        <v>0</v>
      </c>
      <c r="F20" s="60">
        <f t="shared" si="2"/>
        <v>30.7</v>
      </c>
      <c r="G20" s="60">
        <f t="shared" si="2"/>
        <v>11804.099999999999</v>
      </c>
      <c r="H20" s="60">
        <f t="shared" si="2"/>
        <v>3450.1</v>
      </c>
      <c r="I20" s="60">
        <f t="shared" si="2"/>
        <v>2276.5000000000005</v>
      </c>
      <c r="J20" s="60">
        <f t="shared" si="2"/>
        <v>2380.9</v>
      </c>
      <c r="K20" s="60">
        <f t="shared" si="2"/>
        <v>70</v>
      </c>
      <c r="L20" s="60">
        <f t="shared" si="2"/>
        <v>8040.499999999999</v>
      </c>
      <c r="M20" s="85">
        <f t="shared" si="2"/>
        <v>29045.000000000004</v>
      </c>
      <c r="N20" s="33">
        <f>SUM(N4:N19)</f>
        <v>121.30000000000001</v>
      </c>
      <c r="O20" s="87">
        <f>SUM(O4:O19)</f>
        <v>29166.3</v>
      </c>
      <c r="P20" s="59" t="s">
        <v>73</v>
      </c>
    </row>
    <row r="21" spans="15:16" ht="12.75">
      <c r="O21" s="63"/>
      <c r="P21" s="79"/>
    </row>
    <row r="22" ht="12.75">
      <c r="N22" s="26"/>
    </row>
    <row r="24" spans="1:5" ht="12.75">
      <c r="A24" s="43" t="s">
        <v>108</v>
      </c>
      <c r="B24" s="42"/>
      <c r="C24" s="42"/>
      <c r="D24" s="42"/>
      <c r="E24" t="s">
        <v>104</v>
      </c>
    </row>
    <row r="25" spans="1:12" ht="15.75">
      <c r="A25" s="55" t="s">
        <v>86</v>
      </c>
      <c r="B25" s="59">
        <v>211</v>
      </c>
      <c r="C25" s="59">
        <v>212</v>
      </c>
      <c r="D25" s="59">
        <v>213</v>
      </c>
      <c r="E25" s="59">
        <v>221</v>
      </c>
      <c r="F25" s="59">
        <v>222</v>
      </c>
      <c r="G25" s="59">
        <v>225</v>
      </c>
      <c r="H25" s="59">
        <v>226</v>
      </c>
      <c r="I25" s="59">
        <v>310</v>
      </c>
      <c r="J25" s="64">
        <v>340</v>
      </c>
      <c r="K25" s="84">
        <v>800</v>
      </c>
      <c r="L25" s="28" t="s">
        <v>175</v>
      </c>
    </row>
    <row r="26" spans="1:13" ht="15.75">
      <c r="A26" s="55" t="s">
        <v>88</v>
      </c>
      <c r="B26" s="56">
        <v>10776.4</v>
      </c>
      <c r="C26" s="56">
        <v>42.8</v>
      </c>
      <c r="D26" s="56">
        <v>3516</v>
      </c>
      <c r="E26" s="56">
        <v>30</v>
      </c>
      <c r="F26" s="56">
        <v>7.2</v>
      </c>
      <c r="G26" s="56">
        <v>50</v>
      </c>
      <c r="H26" s="56">
        <v>625.4</v>
      </c>
      <c r="I26" s="56">
        <v>457.4</v>
      </c>
      <c r="J26" s="56">
        <v>380</v>
      </c>
      <c r="K26" s="85">
        <f aca="true" t="shared" si="3" ref="K26:K41">SUM(B26:J26)</f>
        <v>15885.199999999999</v>
      </c>
      <c r="L26" s="34">
        <f aca="true" t="shared" si="4" ref="L26:L41">O4+K26</f>
        <v>18901.3</v>
      </c>
      <c r="M26" s="35"/>
    </row>
    <row r="27" spans="1:13" ht="15.75">
      <c r="A27" s="55" t="s">
        <v>89</v>
      </c>
      <c r="B27" s="56">
        <v>9310.6</v>
      </c>
      <c r="C27" s="56">
        <v>54.4</v>
      </c>
      <c r="D27" s="56">
        <v>3037.9</v>
      </c>
      <c r="E27" s="56">
        <v>24</v>
      </c>
      <c r="F27" s="56">
        <v>6.6</v>
      </c>
      <c r="G27" s="56">
        <v>85</v>
      </c>
      <c r="H27" s="56">
        <v>697.2</v>
      </c>
      <c r="I27" s="56">
        <v>3410.7</v>
      </c>
      <c r="J27" s="56">
        <v>580</v>
      </c>
      <c r="K27" s="85">
        <f t="shared" si="3"/>
        <v>17206.4</v>
      </c>
      <c r="L27" s="34">
        <f t="shared" si="4"/>
        <v>19447.4</v>
      </c>
      <c r="M27" s="35"/>
    </row>
    <row r="28" spans="1:13" ht="15.75">
      <c r="A28" s="58" t="s">
        <v>90</v>
      </c>
      <c r="B28" s="56">
        <v>12994.7</v>
      </c>
      <c r="C28" s="56">
        <v>60.8</v>
      </c>
      <c r="D28" s="56">
        <v>4240.1</v>
      </c>
      <c r="E28" s="56">
        <v>30</v>
      </c>
      <c r="F28" s="56">
        <v>18.7</v>
      </c>
      <c r="G28" s="56">
        <v>250</v>
      </c>
      <c r="H28" s="56">
        <v>1002.8</v>
      </c>
      <c r="I28" s="56">
        <v>3790.6</v>
      </c>
      <c r="J28" s="56">
        <v>1080</v>
      </c>
      <c r="K28" s="85">
        <f t="shared" si="3"/>
        <v>23467.699999999997</v>
      </c>
      <c r="L28" s="34">
        <f t="shared" si="4"/>
        <v>27996.899999999998</v>
      </c>
      <c r="M28" s="35"/>
    </row>
    <row r="29" spans="1:13" ht="15.75">
      <c r="A29" s="58" t="s">
        <v>91</v>
      </c>
      <c r="B29" s="56">
        <v>6756.2</v>
      </c>
      <c r="C29" s="56">
        <v>27</v>
      </c>
      <c r="D29" s="56">
        <v>2205</v>
      </c>
      <c r="E29" s="56">
        <v>24</v>
      </c>
      <c r="F29" s="56">
        <v>6</v>
      </c>
      <c r="G29" s="56">
        <v>48</v>
      </c>
      <c r="H29" s="56">
        <v>317.9</v>
      </c>
      <c r="I29" s="56">
        <v>338.2</v>
      </c>
      <c r="J29" s="56">
        <v>225</v>
      </c>
      <c r="K29" s="85">
        <f t="shared" si="3"/>
        <v>9947.300000000001</v>
      </c>
      <c r="L29" s="34">
        <f t="shared" si="4"/>
        <v>12023.600000000002</v>
      </c>
      <c r="M29" s="35"/>
    </row>
    <row r="30" spans="1:13" ht="15.75">
      <c r="A30" s="58" t="s">
        <v>92</v>
      </c>
      <c r="B30" s="56">
        <v>5263.2</v>
      </c>
      <c r="C30" s="56">
        <v>32</v>
      </c>
      <c r="D30" s="56">
        <v>1721.2</v>
      </c>
      <c r="E30" s="56">
        <v>9.6</v>
      </c>
      <c r="F30" s="56">
        <v>8.8</v>
      </c>
      <c r="G30" s="56">
        <v>0</v>
      </c>
      <c r="H30" s="56">
        <v>277.6</v>
      </c>
      <c r="I30" s="56">
        <v>0</v>
      </c>
      <c r="J30" s="56">
        <v>0</v>
      </c>
      <c r="K30" s="85">
        <f t="shared" si="3"/>
        <v>7312.400000000001</v>
      </c>
      <c r="L30" s="34">
        <f t="shared" si="4"/>
        <v>9381.900000000001</v>
      </c>
      <c r="M30" s="35"/>
    </row>
    <row r="31" spans="1:13" ht="15.75">
      <c r="A31" s="58" t="s">
        <v>93</v>
      </c>
      <c r="B31" s="56">
        <v>14066.2</v>
      </c>
      <c r="C31" s="56">
        <v>51.2</v>
      </c>
      <c r="D31" s="56">
        <v>4591.1</v>
      </c>
      <c r="E31" s="56">
        <v>36</v>
      </c>
      <c r="F31" s="56">
        <v>6.2</v>
      </c>
      <c r="G31" s="56">
        <v>140</v>
      </c>
      <c r="H31" s="56">
        <v>565.9</v>
      </c>
      <c r="I31" s="56">
        <v>4292.4</v>
      </c>
      <c r="J31" s="56">
        <v>500</v>
      </c>
      <c r="K31" s="85">
        <f t="shared" si="3"/>
        <v>24249</v>
      </c>
      <c r="L31" s="34">
        <f t="shared" si="4"/>
        <v>27251.3</v>
      </c>
      <c r="M31" s="35"/>
    </row>
    <row r="32" spans="1:13" ht="15.75">
      <c r="A32" s="58" t="s">
        <v>94</v>
      </c>
      <c r="B32" s="56">
        <v>4515.1</v>
      </c>
      <c r="C32" s="56">
        <v>38.4</v>
      </c>
      <c r="D32" s="56">
        <v>1490.9</v>
      </c>
      <c r="E32" s="56">
        <v>24</v>
      </c>
      <c r="F32" s="56">
        <v>10.6</v>
      </c>
      <c r="G32" s="56">
        <v>0</v>
      </c>
      <c r="H32" s="56">
        <v>337</v>
      </c>
      <c r="I32" s="56">
        <v>0</v>
      </c>
      <c r="J32" s="56">
        <v>0</v>
      </c>
      <c r="K32" s="85">
        <f t="shared" si="3"/>
        <v>6416</v>
      </c>
      <c r="L32" s="34">
        <f t="shared" si="4"/>
        <v>8116.4</v>
      </c>
      <c r="M32" s="35"/>
    </row>
    <row r="33" spans="1:13" ht="15.75">
      <c r="A33" s="58" t="s">
        <v>95</v>
      </c>
      <c r="B33" s="56">
        <v>8053.5</v>
      </c>
      <c r="C33" s="56">
        <v>46.6</v>
      </c>
      <c r="D33" s="56">
        <v>2629</v>
      </c>
      <c r="E33" s="56">
        <v>24</v>
      </c>
      <c r="F33" s="56">
        <v>14.7</v>
      </c>
      <c r="G33" s="56">
        <v>50</v>
      </c>
      <c r="H33" s="56">
        <v>580.1</v>
      </c>
      <c r="I33" s="56">
        <v>828</v>
      </c>
      <c r="J33" s="56">
        <v>380.5</v>
      </c>
      <c r="K33" s="85">
        <f t="shared" si="3"/>
        <v>12606.400000000001</v>
      </c>
      <c r="L33" s="34">
        <f t="shared" si="4"/>
        <v>14535.2</v>
      </c>
      <c r="M33" s="35"/>
    </row>
    <row r="34" spans="1:13" ht="15.75">
      <c r="A34" s="58" t="s">
        <v>96</v>
      </c>
      <c r="B34" s="56">
        <v>6046.4</v>
      </c>
      <c r="C34" s="56">
        <v>30</v>
      </c>
      <c r="D34" s="56">
        <v>2000.3</v>
      </c>
      <c r="E34" s="56">
        <v>24</v>
      </c>
      <c r="F34" s="56">
        <v>6.7</v>
      </c>
      <c r="G34" s="56">
        <v>0</v>
      </c>
      <c r="H34" s="56">
        <v>292.5</v>
      </c>
      <c r="I34" s="56">
        <v>0</v>
      </c>
      <c r="J34" s="56">
        <v>0</v>
      </c>
      <c r="K34" s="85">
        <f t="shared" si="3"/>
        <v>8399.9</v>
      </c>
      <c r="L34" s="34">
        <f t="shared" si="4"/>
        <v>10222.9</v>
      </c>
      <c r="M34" s="35"/>
    </row>
    <row r="35" spans="1:13" ht="15.75">
      <c r="A35" s="55" t="s">
        <v>97</v>
      </c>
      <c r="B35" s="56">
        <v>4737.1</v>
      </c>
      <c r="C35" s="56">
        <v>23.4</v>
      </c>
      <c r="D35" s="56">
        <v>1551.1</v>
      </c>
      <c r="E35" s="56">
        <v>21.6</v>
      </c>
      <c r="F35" s="56">
        <v>5.4</v>
      </c>
      <c r="G35" s="56">
        <v>0</v>
      </c>
      <c r="H35" s="56">
        <v>247.9</v>
      </c>
      <c r="I35" s="56">
        <v>0</v>
      </c>
      <c r="J35" s="56">
        <v>0</v>
      </c>
      <c r="K35" s="85">
        <f t="shared" si="3"/>
        <v>6586.5</v>
      </c>
      <c r="L35" s="34">
        <f t="shared" si="4"/>
        <v>8846</v>
      </c>
      <c r="M35" s="35"/>
    </row>
    <row r="36" spans="1:13" ht="15.75">
      <c r="A36" s="55" t="s">
        <v>98</v>
      </c>
      <c r="B36" s="56">
        <v>5250.3</v>
      </c>
      <c r="C36" s="56">
        <v>20.4</v>
      </c>
      <c r="D36" s="56">
        <v>1720.4</v>
      </c>
      <c r="E36" s="56">
        <v>14.4</v>
      </c>
      <c r="F36" s="56">
        <v>10.8</v>
      </c>
      <c r="G36" s="56">
        <v>10</v>
      </c>
      <c r="H36" s="56">
        <v>248.9</v>
      </c>
      <c r="I36" s="56">
        <v>0</v>
      </c>
      <c r="J36" s="56">
        <v>10</v>
      </c>
      <c r="K36" s="85">
        <f t="shared" si="3"/>
        <v>7285.2</v>
      </c>
      <c r="L36" s="34">
        <f t="shared" si="4"/>
        <v>8689.4</v>
      </c>
      <c r="M36" s="35"/>
    </row>
    <row r="37" spans="1:13" ht="15.75">
      <c r="A37" s="55" t="s">
        <v>99</v>
      </c>
      <c r="B37" s="56">
        <v>2945.6</v>
      </c>
      <c r="C37" s="56">
        <v>16</v>
      </c>
      <c r="D37" s="56">
        <v>961.4</v>
      </c>
      <c r="E37" s="56">
        <v>4.8</v>
      </c>
      <c r="F37" s="56">
        <v>13.4</v>
      </c>
      <c r="G37" s="56">
        <v>10</v>
      </c>
      <c r="H37" s="56">
        <v>290.5</v>
      </c>
      <c r="I37" s="56">
        <v>655.1</v>
      </c>
      <c r="J37" s="56">
        <v>45</v>
      </c>
      <c r="K37" s="85">
        <f t="shared" si="3"/>
        <v>4941.800000000001</v>
      </c>
      <c r="L37" s="34">
        <f t="shared" si="4"/>
        <v>5672.700000000001</v>
      </c>
      <c r="M37" s="35"/>
    </row>
    <row r="38" spans="1:13" ht="15.75">
      <c r="A38" s="55" t="s">
        <v>100</v>
      </c>
      <c r="B38" s="56">
        <v>3644</v>
      </c>
      <c r="C38" s="56">
        <v>17.8</v>
      </c>
      <c r="D38" s="56">
        <v>1189.3</v>
      </c>
      <c r="E38" s="56">
        <v>4.8</v>
      </c>
      <c r="F38" s="56">
        <v>5.1</v>
      </c>
      <c r="G38" s="56">
        <v>120</v>
      </c>
      <c r="H38" s="56">
        <v>422.8</v>
      </c>
      <c r="I38" s="56">
        <v>501.5</v>
      </c>
      <c r="J38" s="56">
        <v>160</v>
      </c>
      <c r="K38" s="85">
        <f t="shared" si="3"/>
        <v>6065.300000000001</v>
      </c>
      <c r="L38" s="34">
        <f t="shared" si="4"/>
        <v>6721.100000000001</v>
      </c>
      <c r="M38" s="35"/>
    </row>
    <row r="39" spans="1:13" ht="15.75">
      <c r="A39" s="55" t="s">
        <v>101</v>
      </c>
      <c r="B39" s="56">
        <v>1844.6</v>
      </c>
      <c r="C39" s="56">
        <v>13.2</v>
      </c>
      <c r="D39" s="56">
        <v>605.2</v>
      </c>
      <c r="E39" s="56">
        <v>8.4</v>
      </c>
      <c r="F39" s="56">
        <v>0</v>
      </c>
      <c r="G39" s="56">
        <v>0</v>
      </c>
      <c r="H39" s="56">
        <v>242.1</v>
      </c>
      <c r="I39" s="56">
        <v>0</v>
      </c>
      <c r="J39" s="56">
        <v>0</v>
      </c>
      <c r="K39" s="85">
        <f t="shared" si="3"/>
        <v>2713.5</v>
      </c>
      <c r="L39" s="34">
        <f t="shared" si="4"/>
        <v>3313.9</v>
      </c>
      <c r="M39" s="35"/>
    </row>
    <row r="40" spans="1:13" ht="15.75">
      <c r="A40" s="55" t="s">
        <v>102</v>
      </c>
      <c r="B40" s="56">
        <v>3012.4</v>
      </c>
      <c r="C40" s="56">
        <v>10.8</v>
      </c>
      <c r="D40" s="56">
        <v>983.2</v>
      </c>
      <c r="E40" s="56">
        <v>4.2</v>
      </c>
      <c r="F40" s="56">
        <v>2.9</v>
      </c>
      <c r="G40" s="56">
        <v>30</v>
      </c>
      <c r="H40" s="56">
        <v>275.9</v>
      </c>
      <c r="I40" s="56">
        <v>594.2</v>
      </c>
      <c r="J40" s="56">
        <v>65.8</v>
      </c>
      <c r="K40" s="85">
        <f t="shared" si="3"/>
        <v>4979.400000000001</v>
      </c>
      <c r="L40" s="34">
        <f t="shared" si="4"/>
        <v>5523.200000000001</v>
      </c>
      <c r="M40" s="35"/>
    </row>
    <row r="41" spans="1:13" ht="15.75">
      <c r="A41" s="55" t="s">
        <v>103</v>
      </c>
      <c r="B41" s="56">
        <v>2146.9</v>
      </c>
      <c r="C41" s="56">
        <v>10.8</v>
      </c>
      <c r="D41" s="56">
        <v>701.5</v>
      </c>
      <c r="E41" s="56">
        <v>9.6</v>
      </c>
      <c r="F41" s="56">
        <v>0</v>
      </c>
      <c r="G41" s="56">
        <v>5</v>
      </c>
      <c r="H41" s="56">
        <v>268.4</v>
      </c>
      <c r="I41" s="56">
        <v>105</v>
      </c>
      <c r="J41" s="56">
        <v>56.2</v>
      </c>
      <c r="K41" s="85">
        <f t="shared" si="3"/>
        <v>3303.4</v>
      </c>
      <c r="L41" s="34">
        <f t="shared" si="4"/>
        <v>3888.5</v>
      </c>
      <c r="M41" s="35"/>
    </row>
    <row r="42" spans="1:13" ht="15.75">
      <c r="A42" s="59" t="s">
        <v>73</v>
      </c>
      <c r="B42" s="60">
        <f aca="true" t="shared" si="5" ref="B42:K42">SUM(B26:B41)</f>
        <v>101363.2</v>
      </c>
      <c r="C42" s="60">
        <f t="shared" si="5"/>
        <v>495.59999999999997</v>
      </c>
      <c r="D42" s="60">
        <f t="shared" si="5"/>
        <v>33143.600000000006</v>
      </c>
      <c r="E42" s="60">
        <f t="shared" si="5"/>
        <v>293.4</v>
      </c>
      <c r="F42" s="60">
        <f t="shared" si="5"/>
        <v>123.10000000000001</v>
      </c>
      <c r="G42" s="60">
        <f t="shared" si="5"/>
        <v>798</v>
      </c>
      <c r="H42" s="60">
        <f t="shared" si="5"/>
        <v>6692.899999999999</v>
      </c>
      <c r="I42" s="60">
        <f t="shared" si="5"/>
        <v>14973.1</v>
      </c>
      <c r="J42" s="60">
        <f t="shared" si="5"/>
        <v>3482.5</v>
      </c>
      <c r="K42" s="85">
        <f t="shared" si="5"/>
        <v>161365.39999999997</v>
      </c>
      <c r="L42" s="36">
        <f>SUM(L26:L41)</f>
        <v>190531.7</v>
      </c>
      <c r="M42" s="28"/>
    </row>
    <row r="44" spans="1:12" ht="15.75">
      <c r="A44" s="53" t="s">
        <v>169</v>
      </c>
      <c r="B44" s="65"/>
      <c r="C44" s="65"/>
      <c r="D44" s="65"/>
      <c r="E44" s="1" t="s">
        <v>105</v>
      </c>
      <c r="F44" s="1"/>
      <c r="G44" s="1" t="s">
        <v>176</v>
      </c>
      <c r="H44" s="1" t="s">
        <v>106</v>
      </c>
      <c r="I44" s="1" t="s">
        <v>106</v>
      </c>
      <c r="J44" s="1" t="s">
        <v>106</v>
      </c>
      <c r="K44" s="1" t="s">
        <v>174</v>
      </c>
      <c r="L44" s="1"/>
    </row>
    <row r="45" spans="1:15" ht="15">
      <c r="A45" s="67" t="s">
        <v>86</v>
      </c>
      <c r="B45" s="67">
        <v>211</v>
      </c>
      <c r="C45" s="67">
        <v>212</v>
      </c>
      <c r="D45" s="67">
        <v>213</v>
      </c>
      <c r="E45" s="67">
        <v>221</v>
      </c>
      <c r="F45" s="67">
        <v>222</v>
      </c>
      <c r="G45" s="67">
        <v>226</v>
      </c>
      <c r="H45" s="67">
        <v>226</v>
      </c>
      <c r="I45" s="67">
        <v>310</v>
      </c>
      <c r="J45" s="68">
        <v>340</v>
      </c>
      <c r="K45" s="68">
        <v>310</v>
      </c>
      <c r="L45" s="89">
        <v>800</v>
      </c>
      <c r="M45" s="37"/>
      <c r="N45" s="28" t="s">
        <v>106</v>
      </c>
      <c r="O45" s="28" t="s">
        <v>177</v>
      </c>
    </row>
    <row r="46" spans="1:15" ht="15">
      <c r="A46" s="67" t="s">
        <v>88</v>
      </c>
      <c r="B46" s="69"/>
      <c r="C46" s="69"/>
      <c r="D46" s="69"/>
      <c r="E46" s="69">
        <v>35.9</v>
      </c>
      <c r="F46" s="69"/>
      <c r="G46" s="69"/>
      <c r="H46" s="69">
        <v>190.97</v>
      </c>
      <c r="I46" s="69"/>
      <c r="J46" s="69">
        <v>0</v>
      </c>
      <c r="K46" s="69">
        <v>0</v>
      </c>
      <c r="L46" s="90">
        <f>SUM(B46:K46)</f>
        <v>226.87</v>
      </c>
      <c r="M46" s="38">
        <f>E46+H46+J46+K46</f>
        <v>226.87</v>
      </c>
      <c r="N46" s="81">
        <f>H46+J46</f>
        <v>190.97</v>
      </c>
      <c r="O46" s="81">
        <f>E46+K46</f>
        <v>35.9</v>
      </c>
    </row>
    <row r="47" spans="1:15" ht="15">
      <c r="A47" s="67" t="s">
        <v>89</v>
      </c>
      <c r="B47" s="69"/>
      <c r="C47" s="69"/>
      <c r="D47" s="69"/>
      <c r="E47" s="69">
        <v>35.2</v>
      </c>
      <c r="F47" s="69"/>
      <c r="G47" s="69"/>
      <c r="H47" s="69">
        <v>196.13</v>
      </c>
      <c r="I47" s="69"/>
      <c r="J47" s="69">
        <v>0</v>
      </c>
      <c r="K47" s="69">
        <v>0</v>
      </c>
      <c r="L47" s="90">
        <f aca="true" t="shared" si="6" ref="L47:L61">SUM(B47:K47)</f>
        <v>231.32999999999998</v>
      </c>
      <c r="M47" s="38">
        <f aca="true" t="shared" si="7" ref="M47:M61">E47+H47+J47+K47</f>
        <v>231.32999999999998</v>
      </c>
      <c r="N47" s="81">
        <f aca="true" t="shared" si="8" ref="N47:N61">H47+J47</f>
        <v>196.13</v>
      </c>
      <c r="O47" s="81">
        <f aca="true" t="shared" si="9" ref="O47:O61">E47+K47</f>
        <v>35.2</v>
      </c>
    </row>
    <row r="48" spans="1:15" ht="15">
      <c r="A48" s="70" t="s">
        <v>90</v>
      </c>
      <c r="B48" s="69"/>
      <c r="C48" s="69"/>
      <c r="D48" s="69"/>
      <c r="E48" s="69">
        <v>32.9</v>
      </c>
      <c r="F48" s="69"/>
      <c r="G48" s="69"/>
      <c r="H48" s="69">
        <v>258.07</v>
      </c>
      <c r="I48" s="69"/>
      <c r="J48" s="69">
        <v>0.73</v>
      </c>
      <c r="K48" s="69">
        <v>321.8</v>
      </c>
      <c r="L48" s="90">
        <f t="shared" si="6"/>
        <v>613.5</v>
      </c>
      <c r="M48" s="38">
        <f t="shared" si="7"/>
        <v>613.5</v>
      </c>
      <c r="N48" s="81">
        <f t="shared" si="8"/>
        <v>258.8</v>
      </c>
      <c r="O48" s="81">
        <f t="shared" si="9"/>
        <v>354.7</v>
      </c>
    </row>
    <row r="49" spans="1:15" ht="15">
      <c r="A49" s="70" t="s">
        <v>91</v>
      </c>
      <c r="B49" s="69"/>
      <c r="C49" s="69"/>
      <c r="D49" s="69"/>
      <c r="E49" s="69">
        <v>32.9</v>
      </c>
      <c r="F49" s="69"/>
      <c r="G49" s="69"/>
      <c r="H49" s="69">
        <v>167.74</v>
      </c>
      <c r="I49" s="69"/>
      <c r="J49" s="69">
        <v>19.9</v>
      </c>
      <c r="K49" s="69">
        <v>210</v>
      </c>
      <c r="L49" s="90">
        <f t="shared" si="6"/>
        <v>430.54</v>
      </c>
      <c r="M49" s="38">
        <f t="shared" si="7"/>
        <v>430.54</v>
      </c>
      <c r="N49" s="81">
        <f t="shared" si="8"/>
        <v>187.64000000000001</v>
      </c>
      <c r="O49" s="81">
        <f t="shared" si="9"/>
        <v>242.9</v>
      </c>
    </row>
    <row r="50" spans="1:15" ht="15">
      <c r="A50" s="70" t="s">
        <v>92</v>
      </c>
      <c r="B50" s="69"/>
      <c r="C50" s="69"/>
      <c r="D50" s="69"/>
      <c r="E50" s="69">
        <v>32.9</v>
      </c>
      <c r="F50" s="69"/>
      <c r="G50" s="69"/>
      <c r="H50" s="69">
        <v>129.03</v>
      </c>
      <c r="I50" s="69"/>
      <c r="J50" s="69">
        <v>41</v>
      </c>
      <c r="K50" s="69">
        <v>150</v>
      </c>
      <c r="L50" s="90">
        <f t="shared" si="6"/>
        <v>352.93</v>
      </c>
      <c r="M50" s="38">
        <f t="shared" si="7"/>
        <v>352.93</v>
      </c>
      <c r="N50" s="81">
        <f t="shared" si="8"/>
        <v>170.03</v>
      </c>
      <c r="O50" s="81">
        <f t="shared" si="9"/>
        <v>182.9</v>
      </c>
    </row>
    <row r="51" spans="1:15" ht="15">
      <c r="A51" s="70" t="s">
        <v>93</v>
      </c>
      <c r="B51" s="69"/>
      <c r="C51" s="69"/>
      <c r="D51" s="69"/>
      <c r="E51" s="69">
        <v>32.9</v>
      </c>
      <c r="F51" s="69"/>
      <c r="G51" s="69"/>
      <c r="H51" s="69">
        <v>258.07</v>
      </c>
      <c r="I51" s="69"/>
      <c r="J51" s="69">
        <v>15.8</v>
      </c>
      <c r="K51" s="69">
        <v>300</v>
      </c>
      <c r="L51" s="90">
        <f t="shared" si="6"/>
        <v>606.77</v>
      </c>
      <c r="M51" s="38">
        <f t="shared" si="7"/>
        <v>606.77</v>
      </c>
      <c r="N51" s="81">
        <f t="shared" si="8"/>
        <v>273.87</v>
      </c>
      <c r="O51" s="81">
        <f t="shared" si="9"/>
        <v>332.9</v>
      </c>
    </row>
    <row r="52" spans="1:15" ht="15">
      <c r="A52" s="70" t="s">
        <v>94</v>
      </c>
      <c r="B52" s="69"/>
      <c r="C52" s="69"/>
      <c r="D52" s="69"/>
      <c r="E52" s="69">
        <v>32.9</v>
      </c>
      <c r="F52" s="69"/>
      <c r="G52" s="69"/>
      <c r="H52" s="69">
        <v>154.84</v>
      </c>
      <c r="I52" s="69"/>
      <c r="J52" s="69">
        <v>38.5</v>
      </c>
      <c r="K52" s="69">
        <v>240</v>
      </c>
      <c r="L52" s="90">
        <f t="shared" si="6"/>
        <v>466.24</v>
      </c>
      <c r="M52" s="38">
        <f t="shared" si="7"/>
        <v>466.24</v>
      </c>
      <c r="N52" s="81">
        <f t="shared" si="8"/>
        <v>193.34</v>
      </c>
      <c r="O52" s="81">
        <f t="shared" si="9"/>
        <v>272.9</v>
      </c>
    </row>
    <row r="53" spans="1:15" ht="15">
      <c r="A53" s="70" t="s">
        <v>95</v>
      </c>
      <c r="B53" s="69"/>
      <c r="C53" s="69"/>
      <c r="D53" s="69"/>
      <c r="E53" s="69">
        <v>32.9</v>
      </c>
      <c r="F53" s="69"/>
      <c r="G53" s="69"/>
      <c r="H53" s="69">
        <v>180.65</v>
      </c>
      <c r="I53" s="69"/>
      <c r="J53" s="69">
        <v>5</v>
      </c>
      <c r="K53" s="69">
        <v>150</v>
      </c>
      <c r="L53" s="90">
        <f t="shared" si="6"/>
        <v>368.55</v>
      </c>
      <c r="M53" s="38">
        <f t="shared" si="7"/>
        <v>368.55</v>
      </c>
      <c r="N53" s="81">
        <f t="shared" si="8"/>
        <v>185.65</v>
      </c>
      <c r="O53" s="81">
        <f t="shared" si="9"/>
        <v>182.9</v>
      </c>
    </row>
    <row r="54" spans="1:15" ht="15">
      <c r="A54" s="70" t="s">
        <v>96</v>
      </c>
      <c r="B54" s="69"/>
      <c r="C54" s="69"/>
      <c r="D54" s="69"/>
      <c r="E54" s="69">
        <v>32.9</v>
      </c>
      <c r="F54" s="69"/>
      <c r="G54" s="69"/>
      <c r="H54" s="69">
        <v>98.07</v>
      </c>
      <c r="I54" s="69"/>
      <c r="J54" s="69">
        <v>2.5</v>
      </c>
      <c r="K54" s="69">
        <v>240</v>
      </c>
      <c r="L54" s="90">
        <f t="shared" si="6"/>
        <v>373.47</v>
      </c>
      <c r="M54" s="38">
        <f t="shared" si="7"/>
        <v>373.47</v>
      </c>
      <c r="N54" s="81">
        <f t="shared" si="8"/>
        <v>100.57</v>
      </c>
      <c r="O54" s="81">
        <f t="shared" si="9"/>
        <v>272.9</v>
      </c>
    </row>
    <row r="55" spans="1:15" ht="15">
      <c r="A55" s="70" t="s">
        <v>97</v>
      </c>
      <c r="B55" s="69"/>
      <c r="C55" s="69"/>
      <c r="D55" s="69"/>
      <c r="E55" s="69">
        <v>32.9</v>
      </c>
      <c r="F55" s="69"/>
      <c r="G55" s="69"/>
      <c r="H55" s="69">
        <v>129.03</v>
      </c>
      <c r="I55" s="69"/>
      <c r="J55" s="69">
        <v>17.5</v>
      </c>
      <c r="K55" s="69">
        <v>90</v>
      </c>
      <c r="L55" s="90">
        <f t="shared" si="6"/>
        <v>269.43</v>
      </c>
      <c r="M55" s="38">
        <f t="shared" si="7"/>
        <v>269.43</v>
      </c>
      <c r="N55" s="81">
        <f t="shared" si="8"/>
        <v>146.53</v>
      </c>
      <c r="O55" s="81">
        <f t="shared" si="9"/>
        <v>122.9</v>
      </c>
    </row>
    <row r="56" spans="1:15" ht="15">
      <c r="A56" s="67" t="s">
        <v>98</v>
      </c>
      <c r="B56" s="69"/>
      <c r="C56" s="69"/>
      <c r="D56" s="69"/>
      <c r="E56" s="69">
        <v>32.9</v>
      </c>
      <c r="F56" s="69"/>
      <c r="G56" s="69"/>
      <c r="H56" s="69">
        <v>141.94</v>
      </c>
      <c r="I56" s="69"/>
      <c r="J56" s="69">
        <v>8.8</v>
      </c>
      <c r="K56" s="69">
        <v>240</v>
      </c>
      <c r="L56" s="90">
        <f t="shared" si="6"/>
        <v>423.64</v>
      </c>
      <c r="M56" s="38">
        <f t="shared" si="7"/>
        <v>423.64</v>
      </c>
      <c r="N56" s="81">
        <f t="shared" si="8"/>
        <v>150.74</v>
      </c>
      <c r="O56" s="81">
        <f t="shared" si="9"/>
        <v>272.9</v>
      </c>
    </row>
    <row r="57" spans="1:15" ht="15">
      <c r="A57" s="67" t="s">
        <v>99</v>
      </c>
      <c r="B57" s="69"/>
      <c r="C57" s="69"/>
      <c r="D57" s="69"/>
      <c r="E57" s="69">
        <v>32.9</v>
      </c>
      <c r="F57" s="69"/>
      <c r="G57" s="69"/>
      <c r="H57" s="69">
        <v>69.68</v>
      </c>
      <c r="I57" s="69"/>
      <c r="J57" s="69">
        <v>0</v>
      </c>
      <c r="K57" s="69">
        <v>90</v>
      </c>
      <c r="L57" s="90">
        <f t="shared" si="6"/>
        <v>192.58</v>
      </c>
      <c r="M57" s="38">
        <f t="shared" si="7"/>
        <v>192.58</v>
      </c>
      <c r="N57" s="81">
        <f t="shared" si="8"/>
        <v>69.68</v>
      </c>
      <c r="O57" s="81">
        <f t="shared" si="9"/>
        <v>122.9</v>
      </c>
    </row>
    <row r="58" spans="1:15" ht="15">
      <c r="A58" s="67" t="s">
        <v>100</v>
      </c>
      <c r="B58" s="69"/>
      <c r="C58" s="69"/>
      <c r="D58" s="69"/>
      <c r="E58" s="69">
        <v>99</v>
      </c>
      <c r="F58" s="69"/>
      <c r="G58" s="69">
        <v>643.1</v>
      </c>
      <c r="H58" s="69">
        <v>92.9</v>
      </c>
      <c r="I58" s="69"/>
      <c r="J58" s="69">
        <v>4.3</v>
      </c>
      <c r="K58" s="69">
        <v>150</v>
      </c>
      <c r="L58" s="90">
        <f t="shared" si="6"/>
        <v>989.3</v>
      </c>
      <c r="M58" s="38">
        <f t="shared" si="7"/>
        <v>346.20000000000005</v>
      </c>
      <c r="N58" s="81">
        <f t="shared" si="8"/>
        <v>97.2</v>
      </c>
      <c r="O58" s="81">
        <f t="shared" si="9"/>
        <v>249</v>
      </c>
    </row>
    <row r="59" spans="1:15" ht="15">
      <c r="A59" s="67" t="s">
        <v>101</v>
      </c>
      <c r="B59" s="69"/>
      <c r="C59" s="69"/>
      <c r="D59" s="69"/>
      <c r="E59" s="69">
        <v>99</v>
      </c>
      <c r="F59" s="69"/>
      <c r="G59" s="69"/>
      <c r="H59" s="69">
        <v>51.61</v>
      </c>
      <c r="I59" s="69"/>
      <c r="J59" s="69">
        <v>0</v>
      </c>
      <c r="K59" s="69">
        <v>0</v>
      </c>
      <c r="L59" s="90">
        <f t="shared" si="6"/>
        <v>150.61</v>
      </c>
      <c r="M59" s="38">
        <f t="shared" si="7"/>
        <v>150.61</v>
      </c>
      <c r="N59" s="81">
        <f t="shared" si="8"/>
        <v>51.61</v>
      </c>
      <c r="O59" s="81">
        <f t="shared" si="9"/>
        <v>99</v>
      </c>
    </row>
    <row r="60" spans="1:15" ht="15">
      <c r="A60" s="67" t="s">
        <v>102</v>
      </c>
      <c r="B60" s="69"/>
      <c r="C60" s="69"/>
      <c r="D60" s="69"/>
      <c r="E60" s="69">
        <v>99</v>
      </c>
      <c r="F60" s="69"/>
      <c r="G60" s="69"/>
      <c r="H60" s="69">
        <v>51.61</v>
      </c>
      <c r="I60" s="69"/>
      <c r="J60" s="69">
        <v>0</v>
      </c>
      <c r="K60" s="69">
        <v>180</v>
      </c>
      <c r="L60" s="90">
        <f t="shared" si="6"/>
        <v>330.61</v>
      </c>
      <c r="M60" s="38">
        <f t="shared" si="7"/>
        <v>330.61</v>
      </c>
      <c r="N60" s="81">
        <f t="shared" si="8"/>
        <v>51.61</v>
      </c>
      <c r="O60" s="81">
        <f t="shared" si="9"/>
        <v>279</v>
      </c>
    </row>
    <row r="61" spans="1:15" ht="15">
      <c r="A61" s="67" t="s">
        <v>103</v>
      </c>
      <c r="B61" s="69"/>
      <c r="C61" s="69"/>
      <c r="D61" s="69"/>
      <c r="E61" s="69">
        <v>32.9</v>
      </c>
      <c r="F61" s="69"/>
      <c r="G61" s="69"/>
      <c r="H61" s="69">
        <v>0</v>
      </c>
      <c r="I61" s="69"/>
      <c r="J61" s="69">
        <v>0</v>
      </c>
      <c r="K61" s="69">
        <v>150</v>
      </c>
      <c r="L61" s="90">
        <f t="shared" si="6"/>
        <v>182.9</v>
      </c>
      <c r="M61" s="38">
        <f t="shared" si="7"/>
        <v>182.9</v>
      </c>
      <c r="N61" s="81">
        <f t="shared" si="8"/>
        <v>0</v>
      </c>
      <c r="O61" s="81">
        <f t="shared" si="9"/>
        <v>182.9</v>
      </c>
    </row>
    <row r="62" spans="1:15" ht="15">
      <c r="A62" s="71" t="s">
        <v>73</v>
      </c>
      <c r="B62" s="72">
        <f aca="true" t="shared" si="10" ref="B62:O62">SUM(B46:B61)</f>
        <v>0</v>
      </c>
      <c r="C62" s="72">
        <f t="shared" si="10"/>
        <v>0</v>
      </c>
      <c r="D62" s="72">
        <f t="shared" si="10"/>
        <v>0</v>
      </c>
      <c r="E62" s="72">
        <f t="shared" si="10"/>
        <v>729.9999999999999</v>
      </c>
      <c r="F62" s="72">
        <f t="shared" si="10"/>
        <v>0</v>
      </c>
      <c r="G62" s="72">
        <f t="shared" si="10"/>
        <v>643.1</v>
      </c>
      <c r="H62" s="72">
        <f t="shared" si="10"/>
        <v>2170.34</v>
      </c>
      <c r="I62" s="72">
        <f t="shared" si="10"/>
        <v>0</v>
      </c>
      <c r="J62" s="72">
        <f t="shared" si="10"/>
        <v>154.03000000000003</v>
      </c>
      <c r="K62" s="72">
        <f t="shared" si="10"/>
        <v>2511.8</v>
      </c>
      <c r="L62" s="90">
        <f t="shared" si="10"/>
        <v>6209.2699999999995</v>
      </c>
      <c r="M62" s="39">
        <f t="shared" si="10"/>
        <v>5566.169999999999</v>
      </c>
      <c r="N62" s="39">
        <f t="shared" si="10"/>
        <v>2324.37</v>
      </c>
      <c r="O62" s="39">
        <f t="shared" si="10"/>
        <v>3241.8000000000006</v>
      </c>
    </row>
    <row r="63" spans="1:12" ht="15">
      <c r="A63" s="73"/>
      <c r="B63" s="74"/>
      <c r="C63" s="74"/>
      <c r="D63" s="74"/>
      <c r="E63" s="75"/>
      <c r="F63" s="74"/>
      <c r="G63" s="74"/>
      <c r="H63" s="75"/>
      <c r="I63" s="75"/>
      <c r="J63" s="75"/>
      <c r="K63" s="75"/>
      <c r="L63" s="75"/>
    </row>
    <row r="64" spans="1:14" ht="15">
      <c r="A64" s="76" t="s">
        <v>107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N64" s="52"/>
    </row>
    <row r="65" spans="1:13" ht="12.75">
      <c r="A65" s="28" t="s">
        <v>86</v>
      </c>
      <c r="B65" s="28">
        <v>211</v>
      </c>
      <c r="C65" s="28">
        <v>212</v>
      </c>
      <c r="D65" s="28">
        <v>213</v>
      </c>
      <c r="E65" s="28">
        <v>221</v>
      </c>
      <c r="F65" s="28">
        <v>222</v>
      </c>
      <c r="G65" s="28">
        <v>223</v>
      </c>
      <c r="H65" s="28">
        <v>225</v>
      </c>
      <c r="I65" s="28">
        <v>226</v>
      </c>
      <c r="J65" s="6">
        <v>290</v>
      </c>
      <c r="K65" s="6">
        <v>310</v>
      </c>
      <c r="L65" s="6">
        <v>340</v>
      </c>
      <c r="M65" s="82">
        <v>800</v>
      </c>
    </row>
    <row r="66" spans="1:13" ht="12.75">
      <c r="A66" s="28" t="s">
        <v>88</v>
      </c>
      <c r="B66" s="40">
        <f>B4+B26+B46</f>
        <v>10822.5</v>
      </c>
      <c r="C66" s="40">
        <f aca="true" t="shared" si="11" ref="C66:C81">C4+C26</f>
        <v>43.199999999999996</v>
      </c>
      <c r="D66" s="40">
        <f>D4+D26+D46</f>
        <v>3529.9</v>
      </c>
      <c r="E66" s="40">
        <f>E4+E26+E46</f>
        <v>65.9</v>
      </c>
      <c r="F66" s="40">
        <f>F26+F4</f>
        <v>13.5</v>
      </c>
      <c r="G66" s="40">
        <f>G4</f>
        <v>1417.8</v>
      </c>
      <c r="H66" s="40">
        <f>G26+H4</f>
        <v>542.2</v>
      </c>
      <c r="I66" s="40">
        <f aca="true" t="shared" si="12" ref="I66:I77">I4+N4+H26+H46+G46</f>
        <v>991.27</v>
      </c>
      <c r="J66" s="40">
        <f>J4</f>
        <v>338</v>
      </c>
      <c r="K66" s="40">
        <f>I26+I46+K4+K46</f>
        <v>457.4</v>
      </c>
      <c r="L66" s="40">
        <f>J46+J26+L4</f>
        <v>906.5</v>
      </c>
      <c r="M66" s="83">
        <f aca="true" t="shared" si="13" ref="M66:M81">SUM(B66:L66)</f>
        <v>19128.170000000002</v>
      </c>
    </row>
    <row r="67" spans="1:13" ht="12.75">
      <c r="A67" s="28" t="s">
        <v>89</v>
      </c>
      <c r="B67" s="40">
        <f aca="true" t="shared" si="14" ref="B67:B81">B5+B27+B47</f>
        <v>9407.2</v>
      </c>
      <c r="C67" s="40">
        <f t="shared" si="11"/>
        <v>55.199999999999996</v>
      </c>
      <c r="D67" s="40">
        <f aca="true" t="shared" si="15" ref="D67:E81">D5+D27+D47</f>
        <v>3067.1</v>
      </c>
      <c r="E67" s="40">
        <f t="shared" si="15"/>
        <v>59.2</v>
      </c>
      <c r="F67" s="40">
        <f aca="true" t="shared" si="16" ref="F67:F81">F27+F5</f>
        <v>12.899999999999999</v>
      </c>
      <c r="G67" s="40">
        <f aca="true" t="shared" si="17" ref="G67:G81">G5</f>
        <v>979.5</v>
      </c>
      <c r="H67" s="40">
        <f aca="true" t="shared" si="18" ref="H67:H81">G27+H5</f>
        <v>257.7</v>
      </c>
      <c r="I67" s="40">
        <f t="shared" si="12"/>
        <v>1130.73</v>
      </c>
      <c r="J67" s="40">
        <f aca="true" t="shared" si="19" ref="J67:J81">J5</f>
        <v>253.9</v>
      </c>
      <c r="K67" s="40">
        <f aca="true" t="shared" si="20" ref="K67:K81">I27+I47+K5+K47</f>
        <v>3410.7</v>
      </c>
      <c r="L67" s="40">
        <f aca="true" t="shared" si="21" ref="L67:L81">J47+J27+L5</f>
        <v>1044.6</v>
      </c>
      <c r="M67" s="83">
        <f t="shared" si="13"/>
        <v>19678.73</v>
      </c>
    </row>
    <row r="68" spans="1:13" ht="12.75">
      <c r="A68" s="80" t="s">
        <v>90</v>
      </c>
      <c r="B68" s="40">
        <f t="shared" si="14"/>
        <v>13119.7</v>
      </c>
      <c r="C68" s="40">
        <f t="shared" si="11"/>
        <v>61.099999999999994</v>
      </c>
      <c r="D68" s="40">
        <f t="shared" si="15"/>
        <v>4277.8</v>
      </c>
      <c r="E68" s="40">
        <f t="shared" si="15"/>
        <v>62.9</v>
      </c>
      <c r="F68" s="40">
        <f t="shared" si="16"/>
        <v>20.099999999999998</v>
      </c>
      <c r="G68" s="40">
        <f t="shared" si="17"/>
        <v>1867.3</v>
      </c>
      <c r="H68" s="40">
        <f t="shared" si="18"/>
        <v>813.8</v>
      </c>
      <c r="I68" s="40">
        <f t="shared" si="12"/>
        <v>1501.1699999999998</v>
      </c>
      <c r="J68" s="40">
        <f t="shared" si="19"/>
        <v>707.5</v>
      </c>
      <c r="K68" s="40">
        <f t="shared" si="20"/>
        <v>4112.4</v>
      </c>
      <c r="L68" s="40">
        <f t="shared" si="21"/>
        <v>2066.63</v>
      </c>
      <c r="M68" s="83">
        <f t="shared" si="13"/>
        <v>28610.399999999998</v>
      </c>
    </row>
    <row r="69" spans="1:13" ht="12.75">
      <c r="A69" s="80" t="s">
        <v>91</v>
      </c>
      <c r="B69" s="40">
        <f t="shared" si="14"/>
        <v>6779.2</v>
      </c>
      <c r="C69" s="40">
        <f t="shared" si="11"/>
        <v>27.2</v>
      </c>
      <c r="D69" s="40">
        <f t="shared" si="15"/>
        <v>2212</v>
      </c>
      <c r="E69" s="40">
        <f t="shared" si="15"/>
        <v>56.9</v>
      </c>
      <c r="F69" s="40">
        <f t="shared" si="16"/>
        <v>7.5</v>
      </c>
      <c r="G69" s="40">
        <f t="shared" si="17"/>
        <v>1131.1</v>
      </c>
      <c r="H69" s="40">
        <f t="shared" si="18"/>
        <v>239.9</v>
      </c>
      <c r="I69" s="40">
        <f t="shared" si="12"/>
        <v>653.64</v>
      </c>
      <c r="J69" s="40">
        <f t="shared" si="19"/>
        <v>140.8</v>
      </c>
      <c r="K69" s="40">
        <f t="shared" si="20"/>
        <v>548.2</v>
      </c>
      <c r="L69" s="40">
        <f t="shared" si="21"/>
        <v>657.7</v>
      </c>
      <c r="M69" s="83">
        <f t="shared" si="13"/>
        <v>12454.14</v>
      </c>
    </row>
    <row r="70" spans="1:13" ht="12.75">
      <c r="A70" s="80" t="s">
        <v>92</v>
      </c>
      <c r="B70" s="40">
        <f t="shared" si="14"/>
        <v>5309.3</v>
      </c>
      <c r="C70" s="40">
        <f t="shared" si="11"/>
        <v>32</v>
      </c>
      <c r="D70" s="40">
        <f t="shared" si="15"/>
        <v>1735.1000000000001</v>
      </c>
      <c r="E70" s="40">
        <f t="shared" si="15"/>
        <v>42.5</v>
      </c>
      <c r="F70" s="40">
        <f t="shared" si="16"/>
        <v>8.8</v>
      </c>
      <c r="G70" s="40">
        <f t="shared" si="17"/>
        <v>969.2</v>
      </c>
      <c r="H70" s="40">
        <f t="shared" si="18"/>
        <v>264.6</v>
      </c>
      <c r="I70" s="40">
        <f t="shared" si="12"/>
        <v>559.23</v>
      </c>
      <c r="J70" s="40">
        <f t="shared" si="19"/>
        <v>46.2</v>
      </c>
      <c r="K70" s="40">
        <f t="shared" si="20"/>
        <v>150</v>
      </c>
      <c r="L70" s="40">
        <f t="shared" si="21"/>
        <v>617.9</v>
      </c>
      <c r="M70" s="83">
        <f t="shared" si="13"/>
        <v>9734.83</v>
      </c>
    </row>
    <row r="71" spans="1:13" ht="12.75">
      <c r="A71" s="80" t="s">
        <v>93</v>
      </c>
      <c r="B71" s="40">
        <f t="shared" si="14"/>
        <v>14132.1</v>
      </c>
      <c r="C71" s="40">
        <f t="shared" si="11"/>
        <v>51.2</v>
      </c>
      <c r="D71" s="40">
        <f t="shared" si="15"/>
        <v>4611</v>
      </c>
      <c r="E71" s="40">
        <f t="shared" si="15"/>
        <v>68.9</v>
      </c>
      <c r="F71" s="40">
        <f t="shared" si="16"/>
        <v>7</v>
      </c>
      <c r="G71" s="40">
        <f t="shared" si="17"/>
        <v>1154.2</v>
      </c>
      <c r="H71" s="40">
        <f t="shared" si="18"/>
        <v>334.9</v>
      </c>
      <c r="I71" s="40">
        <f t="shared" si="12"/>
        <v>1085.1699999999998</v>
      </c>
      <c r="J71" s="40">
        <f t="shared" si="19"/>
        <v>104</v>
      </c>
      <c r="K71" s="40">
        <f t="shared" si="20"/>
        <v>4592.4</v>
      </c>
      <c r="L71" s="40">
        <f t="shared" si="21"/>
        <v>1717.2</v>
      </c>
      <c r="M71" s="83">
        <f t="shared" si="13"/>
        <v>27858.070000000003</v>
      </c>
    </row>
    <row r="72" spans="1:13" ht="12.75">
      <c r="A72" s="80" t="s">
        <v>94</v>
      </c>
      <c r="B72" s="40">
        <f t="shared" si="14"/>
        <v>4615.1</v>
      </c>
      <c r="C72" s="40">
        <f t="shared" si="11"/>
        <v>38.4</v>
      </c>
      <c r="D72" s="40">
        <f>D10+D32+D52</f>
        <v>1521.1000000000001</v>
      </c>
      <c r="E72" s="40">
        <f t="shared" si="15"/>
        <v>56.9</v>
      </c>
      <c r="F72" s="40">
        <f t="shared" si="16"/>
        <v>10.6</v>
      </c>
      <c r="G72" s="40">
        <f t="shared" si="17"/>
        <v>419.7</v>
      </c>
      <c r="H72" s="40">
        <f t="shared" si="18"/>
        <v>225.9</v>
      </c>
      <c r="I72" s="40">
        <f t="shared" si="12"/>
        <v>666.24</v>
      </c>
      <c r="J72" s="40">
        <f t="shared" si="19"/>
        <v>78.5</v>
      </c>
      <c r="K72" s="40">
        <f t="shared" si="20"/>
        <v>240</v>
      </c>
      <c r="L72" s="40">
        <f t="shared" si="21"/>
        <v>710.2</v>
      </c>
      <c r="M72" s="83">
        <f t="shared" si="13"/>
        <v>8582.64</v>
      </c>
    </row>
    <row r="73" spans="1:13" ht="12.75">
      <c r="A73" s="80" t="s">
        <v>95</v>
      </c>
      <c r="B73" s="40">
        <f t="shared" si="14"/>
        <v>8123.1</v>
      </c>
      <c r="C73" s="40">
        <f t="shared" si="11"/>
        <v>46.6</v>
      </c>
      <c r="D73" s="40">
        <f t="shared" si="15"/>
        <v>2650</v>
      </c>
      <c r="E73" s="40">
        <f t="shared" si="15"/>
        <v>56.9</v>
      </c>
      <c r="F73" s="40">
        <f t="shared" si="16"/>
        <v>15.399999999999999</v>
      </c>
      <c r="G73" s="40">
        <f t="shared" si="17"/>
        <v>829</v>
      </c>
      <c r="H73" s="40">
        <f t="shared" si="18"/>
        <v>286.9</v>
      </c>
      <c r="I73" s="40">
        <f t="shared" si="12"/>
        <v>903.4499999999999</v>
      </c>
      <c r="J73" s="40">
        <f t="shared" si="19"/>
        <v>40.7</v>
      </c>
      <c r="K73" s="40">
        <f t="shared" si="20"/>
        <v>978</v>
      </c>
      <c r="L73" s="40">
        <f t="shared" si="21"/>
        <v>973.7</v>
      </c>
      <c r="M73" s="83">
        <f t="shared" si="13"/>
        <v>14903.750000000002</v>
      </c>
    </row>
    <row r="74" spans="1:13" ht="12.75">
      <c r="A74" s="80" t="s">
        <v>96</v>
      </c>
      <c r="B74" s="40">
        <f t="shared" si="14"/>
        <v>6046.4</v>
      </c>
      <c r="C74" s="40">
        <f t="shared" si="11"/>
        <v>30.3</v>
      </c>
      <c r="D74" s="40">
        <f t="shared" si="15"/>
        <v>2000.3</v>
      </c>
      <c r="E74" s="40">
        <f t="shared" si="15"/>
        <v>56.9</v>
      </c>
      <c r="F74" s="40">
        <f t="shared" si="16"/>
        <v>20.4</v>
      </c>
      <c r="G74" s="40">
        <f t="shared" si="17"/>
        <v>398.4</v>
      </c>
      <c r="H74" s="40">
        <f t="shared" si="18"/>
        <v>197</v>
      </c>
      <c r="I74" s="40">
        <f t="shared" si="12"/>
        <v>550.6700000000001</v>
      </c>
      <c r="J74" s="40">
        <f t="shared" si="19"/>
        <v>136.6</v>
      </c>
      <c r="K74" s="40">
        <f t="shared" si="20"/>
        <v>240</v>
      </c>
      <c r="L74" s="40">
        <f t="shared" si="21"/>
        <v>919.4</v>
      </c>
      <c r="M74" s="83">
        <f t="shared" si="13"/>
        <v>10596.369999999999</v>
      </c>
    </row>
    <row r="75" spans="1:13" ht="12.75">
      <c r="A75" s="80" t="s">
        <v>97</v>
      </c>
      <c r="B75" s="40">
        <f t="shared" si="14"/>
        <v>4812</v>
      </c>
      <c r="C75" s="40">
        <f t="shared" si="11"/>
        <v>23.4</v>
      </c>
      <c r="D75" s="40">
        <f t="shared" si="15"/>
        <v>1573.6999999999998</v>
      </c>
      <c r="E75" s="40">
        <f t="shared" si="15"/>
        <v>54.5</v>
      </c>
      <c r="F75" s="40">
        <f t="shared" si="16"/>
        <v>5.4</v>
      </c>
      <c r="G75" s="40">
        <f t="shared" si="17"/>
        <v>765.4</v>
      </c>
      <c r="H75" s="40">
        <f t="shared" si="18"/>
        <v>197.6</v>
      </c>
      <c r="I75" s="40">
        <f t="shared" si="12"/>
        <v>559.53</v>
      </c>
      <c r="J75" s="40">
        <f t="shared" si="19"/>
        <v>251.5</v>
      </c>
      <c r="K75" s="40">
        <f t="shared" si="20"/>
        <v>90</v>
      </c>
      <c r="L75" s="40">
        <f t="shared" si="21"/>
        <v>782.4</v>
      </c>
      <c r="M75" s="83">
        <f t="shared" si="13"/>
        <v>9115.429999999998</v>
      </c>
    </row>
    <row r="76" spans="1:13" ht="12.75">
      <c r="A76" s="80" t="s">
        <v>98</v>
      </c>
      <c r="B76" s="40">
        <f t="shared" si="14"/>
        <v>5273.3</v>
      </c>
      <c r="C76" s="40">
        <f t="shared" si="11"/>
        <v>20.4</v>
      </c>
      <c r="D76" s="40">
        <f t="shared" si="15"/>
        <v>1727.4</v>
      </c>
      <c r="E76" s="40">
        <f t="shared" si="15"/>
        <v>47.3</v>
      </c>
      <c r="F76" s="40">
        <f t="shared" si="16"/>
        <v>10.8</v>
      </c>
      <c r="G76" s="40">
        <f t="shared" si="17"/>
        <v>515.7</v>
      </c>
      <c r="H76" s="40">
        <f t="shared" si="18"/>
        <v>294.9</v>
      </c>
      <c r="I76" s="40">
        <f t="shared" si="12"/>
        <v>521.6400000000001</v>
      </c>
      <c r="J76" s="40">
        <f t="shared" si="19"/>
        <v>69.6</v>
      </c>
      <c r="K76" s="40">
        <f t="shared" si="20"/>
        <v>240</v>
      </c>
      <c r="L76" s="40">
        <f t="shared" si="21"/>
        <v>392</v>
      </c>
      <c r="M76" s="83">
        <f t="shared" si="13"/>
        <v>9113.04</v>
      </c>
    </row>
    <row r="77" spans="1:13" ht="12.75">
      <c r="A77" s="80" t="s">
        <v>99</v>
      </c>
      <c r="B77" s="40">
        <f t="shared" si="14"/>
        <v>2968.7</v>
      </c>
      <c r="C77" s="40">
        <f t="shared" si="11"/>
        <v>16</v>
      </c>
      <c r="D77" s="40">
        <f t="shared" si="15"/>
        <v>968.4</v>
      </c>
      <c r="E77" s="40">
        <f t="shared" si="15"/>
        <v>37.699999999999996</v>
      </c>
      <c r="F77" s="40">
        <f t="shared" si="16"/>
        <v>13.4</v>
      </c>
      <c r="G77" s="40">
        <f t="shared" si="17"/>
        <v>361.2</v>
      </c>
      <c r="H77" s="40">
        <f t="shared" si="18"/>
        <v>86.4</v>
      </c>
      <c r="I77" s="40">
        <f t="shared" si="12"/>
        <v>422.48</v>
      </c>
      <c r="J77" s="40">
        <f t="shared" si="19"/>
        <v>81.3</v>
      </c>
      <c r="K77" s="40">
        <f t="shared" si="20"/>
        <v>755.1</v>
      </c>
      <c r="L77" s="40">
        <f t="shared" si="21"/>
        <v>154.6</v>
      </c>
      <c r="M77" s="83">
        <f t="shared" si="13"/>
        <v>5865.28</v>
      </c>
    </row>
    <row r="78" spans="1:13" ht="12.75">
      <c r="A78" s="80" t="s">
        <v>100</v>
      </c>
      <c r="B78" s="40">
        <f t="shared" si="14"/>
        <v>3665</v>
      </c>
      <c r="C78" s="40">
        <f t="shared" si="11"/>
        <v>17.8</v>
      </c>
      <c r="D78" s="40">
        <f t="shared" si="15"/>
        <v>1195.6</v>
      </c>
      <c r="E78" s="40">
        <f t="shared" si="15"/>
        <v>103.8</v>
      </c>
      <c r="F78" s="40">
        <f t="shared" si="16"/>
        <v>5.1</v>
      </c>
      <c r="G78" s="40">
        <f t="shared" si="17"/>
        <v>198.3</v>
      </c>
      <c r="H78" s="40">
        <f t="shared" si="18"/>
        <v>211.5</v>
      </c>
      <c r="I78" s="40">
        <f>I16+N16+H38+H58+G58</f>
        <v>1266.1</v>
      </c>
      <c r="J78" s="40">
        <f t="shared" si="19"/>
        <v>36.9</v>
      </c>
      <c r="K78" s="40">
        <f t="shared" si="20"/>
        <v>651.5</v>
      </c>
      <c r="L78" s="40">
        <f t="shared" si="21"/>
        <v>358.8</v>
      </c>
      <c r="M78" s="83">
        <f t="shared" si="13"/>
        <v>7710.400000000001</v>
      </c>
    </row>
    <row r="79" spans="1:13" ht="12.75">
      <c r="A79" s="28" t="s">
        <v>101</v>
      </c>
      <c r="B79" s="40">
        <f t="shared" si="14"/>
        <v>1867.6999999999998</v>
      </c>
      <c r="C79" s="40">
        <f t="shared" si="11"/>
        <v>13.2</v>
      </c>
      <c r="D79" s="40">
        <f t="shared" si="15"/>
        <v>612.2</v>
      </c>
      <c r="E79" s="40">
        <f t="shared" si="15"/>
        <v>107.4</v>
      </c>
      <c r="F79" s="40">
        <f t="shared" si="16"/>
        <v>0</v>
      </c>
      <c r="G79" s="40">
        <f t="shared" si="17"/>
        <v>310.5</v>
      </c>
      <c r="H79" s="40">
        <f t="shared" si="18"/>
        <v>98.5</v>
      </c>
      <c r="I79" s="40">
        <f>I17+N17+H39+H59+G59</f>
        <v>360.51</v>
      </c>
      <c r="J79" s="40">
        <f t="shared" si="19"/>
        <v>15.5</v>
      </c>
      <c r="K79" s="40">
        <f t="shared" si="20"/>
        <v>0</v>
      </c>
      <c r="L79" s="40">
        <f t="shared" si="21"/>
        <v>79</v>
      </c>
      <c r="M79" s="83">
        <f t="shared" si="13"/>
        <v>3464.51</v>
      </c>
    </row>
    <row r="80" spans="1:13" ht="12.75">
      <c r="A80" s="28" t="s">
        <v>102</v>
      </c>
      <c r="B80" s="40">
        <f t="shared" si="14"/>
        <v>3035.5</v>
      </c>
      <c r="C80" s="40">
        <f t="shared" si="11"/>
        <v>10.8</v>
      </c>
      <c r="D80" s="40">
        <f t="shared" si="15"/>
        <v>990.2</v>
      </c>
      <c r="E80" s="40">
        <f t="shared" si="15"/>
        <v>103.2</v>
      </c>
      <c r="F80" s="40">
        <f t="shared" si="16"/>
        <v>2.9</v>
      </c>
      <c r="G80" s="40">
        <f t="shared" si="17"/>
        <v>204.8</v>
      </c>
      <c r="H80" s="40">
        <f t="shared" si="18"/>
        <v>92.2</v>
      </c>
      <c r="I80" s="40">
        <f>I18+N18+H40+H60+G60</f>
        <v>387.51</v>
      </c>
      <c r="J80" s="40">
        <f t="shared" si="19"/>
        <v>30.8</v>
      </c>
      <c r="K80" s="40">
        <f t="shared" si="20"/>
        <v>834.2</v>
      </c>
      <c r="L80" s="40">
        <f t="shared" si="21"/>
        <v>161.7</v>
      </c>
      <c r="M80" s="83">
        <f t="shared" si="13"/>
        <v>5853.8099999999995</v>
      </c>
    </row>
    <row r="81" spans="1:13" ht="12.75">
      <c r="A81" s="28" t="s">
        <v>103</v>
      </c>
      <c r="B81" s="40">
        <f t="shared" si="14"/>
        <v>2146.9</v>
      </c>
      <c r="C81" s="40">
        <f t="shared" si="11"/>
        <v>10.8</v>
      </c>
      <c r="D81" s="40">
        <f t="shared" si="15"/>
        <v>701.5</v>
      </c>
      <c r="E81" s="40">
        <f t="shared" si="15"/>
        <v>42.5</v>
      </c>
      <c r="F81" s="40">
        <f t="shared" si="16"/>
        <v>0</v>
      </c>
      <c r="G81" s="40">
        <f t="shared" si="17"/>
        <v>282</v>
      </c>
      <c r="H81" s="40">
        <f t="shared" si="18"/>
        <v>104.1</v>
      </c>
      <c r="I81" s="40">
        <f>I19+N19+H41+H61+G61</f>
        <v>344.79999999999995</v>
      </c>
      <c r="J81" s="40">
        <f t="shared" si="19"/>
        <v>49.1</v>
      </c>
      <c r="K81" s="40">
        <f t="shared" si="20"/>
        <v>255</v>
      </c>
      <c r="L81" s="40">
        <f t="shared" si="21"/>
        <v>134.7</v>
      </c>
      <c r="M81" s="83">
        <f t="shared" si="13"/>
        <v>4071.4</v>
      </c>
    </row>
    <row r="82" spans="1:14" ht="12.75">
      <c r="A82" s="32" t="s">
        <v>73</v>
      </c>
      <c r="B82" s="41">
        <f>SUM(B66:B81)</f>
        <v>102123.69999999998</v>
      </c>
      <c r="C82" s="41">
        <f aca="true" t="shared" si="22" ref="C82:M82">SUM(C66:C81)</f>
        <v>497.59999999999997</v>
      </c>
      <c r="D82" s="41">
        <f t="shared" si="22"/>
        <v>33373.3</v>
      </c>
      <c r="E82" s="41">
        <f t="shared" si="22"/>
        <v>1023.3999999999999</v>
      </c>
      <c r="F82" s="41">
        <f t="shared" si="22"/>
        <v>153.8</v>
      </c>
      <c r="G82" s="41">
        <f t="shared" si="22"/>
        <v>11804.099999999999</v>
      </c>
      <c r="H82" s="41">
        <f t="shared" si="22"/>
        <v>4248.100000000001</v>
      </c>
      <c r="I82" s="41">
        <f t="shared" si="22"/>
        <v>11904.14</v>
      </c>
      <c r="J82" s="41">
        <f t="shared" si="22"/>
        <v>2380.9</v>
      </c>
      <c r="K82" s="41">
        <f t="shared" si="22"/>
        <v>17554.9</v>
      </c>
      <c r="L82" s="41">
        <f t="shared" si="22"/>
        <v>11677.03</v>
      </c>
      <c r="M82" s="41">
        <f t="shared" si="22"/>
        <v>196740.97</v>
      </c>
      <c r="N82" s="26">
        <f>O20+K42+L62</f>
        <v>196740.96999999994</v>
      </c>
    </row>
  </sheetData>
  <sheetProtection/>
  <mergeCells count="1">
    <mergeCell ref="O2:O3"/>
  </mergeCells>
  <printOptions/>
  <pageMargins left="0" right="0" top="0.1968503937007874" bottom="0.1968503937007874" header="0.11811023622047245" footer="0.11811023622047245"/>
  <pageSetup horizontalDpi="600" verticalDpi="600" orientation="landscape" paperSize="9" scale="63" r:id="rId1"/>
  <rowBreaks count="1" manualBreakCount="1">
    <brk id="43" max="67" man="1"/>
  </rowBreaks>
  <colBreaks count="1" manualBreakCount="1">
    <brk id="15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L125"/>
  <sheetViews>
    <sheetView view="pageBreakPreview" zoomScaleSheetLayoutView="100" zoomScalePageLayoutView="0" workbookViewId="0" topLeftCell="A4">
      <pane xSplit="10" ySplit="7" topLeftCell="K104" activePane="bottomRight" state="frozen"/>
      <selection pane="topLeft" activeCell="A4" sqref="A4"/>
      <selection pane="topRight" activeCell="K4" sqref="K4"/>
      <selection pane="bottomLeft" activeCell="A11" sqref="A11"/>
      <selection pane="bottomRight" activeCell="G110" sqref="G110"/>
    </sheetView>
  </sheetViews>
  <sheetFormatPr defaultColWidth="9.00390625" defaultRowHeight="12.75"/>
  <cols>
    <col min="2" max="2" width="8.375" style="0" customWidth="1"/>
    <col min="3" max="3" width="24.25390625" style="0" customWidth="1"/>
    <col min="4" max="4" width="12.25390625" style="0" bestFit="1" customWidth="1"/>
    <col min="5" max="5" width="11.875" style="0" customWidth="1"/>
    <col min="6" max="6" width="14.75390625" style="0" customWidth="1"/>
    <col min="7" max="7" width="14.875" style="0" customWidth="1"/>
    <col min="8" max="8" width="17.25390625" style="0" customWidth="1"/>
    <col min="9" max="9" width="11.75390625" style="0" customWidth="1"/>
    <col min="10" max="10" width="4.75390625" style="0" customWidth="1"/>
    <col min="11" max="14" width="13.625" style="0" customWidth="1"/>
    <col min="15" max="15" width="12.875" style="0" bestFit="1" customWidth="1"/>
    <col min="16" max="16" width="12.375" style="0" customWidth="1"/>
    <col min="17" max="17" width="12.125" style="0" customWidth="1"/>
    <col min="18" max="18" width="10.625" style="0" customWidth="1"/>
    <col min="19" max="20" width="20.875" style="0" customWidth="1"/>
    <col min="27" max="27" width="13.25390625" style="0" customWidth="1"/>
    <col min="28" max="28" width="12.125" style="0" customWidth="1"/>
    <col min="29" max="29" width="12.375" style="0" customWidth="1"/>
    <col min="30" max="30" width="17.875" style="0" customWidth="1"/>
    <col min="34" max="34" width="9.375" style="0" customWidth="1"/>
    <col min="35" max="35" width="10.375" style="0" customWidth="1"/>
    <col min="36" max="36" width="11.375" style="0" customWidth="1"/>
  </cols>
  <sheetData>
    <row r="1" spans="6:9" ht="15">
      <c r="F1" s="1" t="s">
        <v>0</v>
      </c>
      <c r="G1" s="1"/>
      <c r="H1" s="1"/>
      <c r="I1" s="1"/>
    </row>
    <row r="2" spans="5:8" ht="15">
      <c r="E2" s="1" t="s">
        <v>170</v>
      </c>
      <c r="F2" s="1"/>
      <c r="G2" s="1"/>
      <c r="H2" s="1"/>
    </row>
    <row r="3" spans="5:8" ht="15">
      <c r="E3" s="1" t="s">
        <v>171</v>
      </c>
      <c r="F3" s="1"/>
      <c r="G3" s="1"/>
      <c r="H3" s="1"/>
    </row>
    <row r="4" spans="5:8" ht="15">
      <c r="E4" s="1" t="s">
        <v>172</v>
      </c>
      <c r="F4" s="1"/>
      <c r="G4" s="1"/>
      <c r="H4" s="1"/>
    </row>
    <row r="5" ht="12.75">
      <c r="H5" t="s">
        <v>168</v>
      </c>
    </row>
    <row r="7" ht="18">
      <c r="C7" s="2" t="s">
        <v>236</v>
      </c>
    </row>
    <row r="8" spans="3:8" ht="15.75">
      <c r="C8" s="3" t="s">
        <v>133</v>
      </c>
      <c r="D8" s="232"/>
      <c r="E8" s="232"/>
      <c r="F8" s="232"/>
      <c r="G8" s="232"/>
      <c r="H8" s="232"/>
    </row>
    <row r="9" spans="3:8" ht="15.75">
      <c r="C9" s="3"/>
      <c r="D9" s="232"/>
      <c r="E9" s="232"/>
      <c r="F9" s="232"/>
      <c r="G9" s="232"/>
      <c r="H9" s="232"/>
    </row>
    <row r="10" spans="3:14" ht="39.75" customHeight="1">
      <c r="C10" s="233" t="s">
        <v>2</v>
      </c>
      <c r="D10" s="233"/>
      <c r="E10" s="233"/>
      <c r="F10" s="233"/>
      <c r="G10" s="233"/>
      <c r="H10" s="233"/>
      <c r="I10" s="233"/>
      <c r="J10" s="134"/>
      <c r="K10" s="96" t="s">
        <v>219</v>
      </c>
      <c r="L10" s="96" t="s">
        <v>220</v>
      </c>
      <c r="M10" s="96" t="s">
        <v>73</v>
      </c>
      <c r="N10" s="96"/>
    </row>
    <row r="11" spans="3:14" ht="48.75" customHeight="1">
      <c r="C11" s="47"/>
      <c r="D11" s="47"/>
      <c r="E11" s="47"/>
      <c r="F11" s="115" t="s">
        <v>225</v>
      </c>
      <c r="G11" s="115" t="s">
        <v>226</v>
      </c>
      <c r="H11" s="115" t="s">
        <v>227</v>
      </c>
      <c r="I11" s="114"/>
      <c r="J11" s="47"/>
      <c r="K11" s="92"/>
      <c r="L11" s="92"/>
      <c r="M11" s="47"/>
      <c r="N11" s="47"/>
    </row>
    <row r="12" spans="2:15" ht="14.25" customHeight="1">
      <c r="B12" s="4" t="s">
        <v>50</v>
      </c>
      <c r="C12" s="47"/>
      <c r="D12" s="47"/>
      <c r="E12" s="47"/>
      <c r="F12" s="190" t="e">
        <f>#REF!+#REF!+#REF!+#REF!+#REF!+#REF!+#REF!+#REF!+#REF!+#REF!+#REF!+#REF!+#REF!+#REF!</f>
        <v>#REF!</v>
      </c>
      <c r="G12" s="193">
        <v>249.1</v>
      </c>
      <c r="H12" s="194">
        <f>G12</f>
        <v>249.1</v>
      </c>
      <c r="I12" s="117"/>
      <c r="J12" s="101"/>
      <c r="K12" s="99" t="e">
        <f>#REF!+#REF!+#REF!+#REF!+#REF!+#REF!+#REF!+#REF!+#REF!</f>
        <v>#REF!</v>
      </c>
      <c r="L12" s="99" t="e">
        <f>#REF!+#REF!+#REF!+#REF!+#REF!</f>
        <v>#REF!</v>
      </c>
      <c r="M12" s="99" t="e">
        <f aca="true" t="shared" si="0" ref="M12:M19">K12+L12</f>
        <v>#REF!</v>
      </c>
      <c r="N12" s="92" t="e">
        <f>F12-M12</f>
        <v>#REF!</v>
      </c>
      <c r="O12" s="10" t="e">
        <f>I12+I13+I14+I17+F19+H20+H48+H83+I90+I92</f>
        <v>#REF!</v>
      </c>
    </row>
    <row r="13" spans="2:14" ht="15" customHeight="1">
      <c r="B13" s="4" t="s">
        <v>162</v>
      </c>
      <c r="C13" s="47"/>
      <c r="D13" s="47"/>
      <c r="E13" s="47"/>
      <c r="F13" s="190" t="e">
        <f>#REF!+#REF!+#REF!+#REF!+маркин!F11</f>
        <v>#REF!</v>
      </c>
      <c r="G13" s="195"/>
      <c r="H13" s="192">
        <v>2</v>
      </c>
      <c r="I13" s="117"/>
      <c r="J13" s="101"/>
      <c r="K13" s="99" t="e">
        <f>#REF!+#REF!+#REF!+#REF!+маркин!F11</f>
        <v>#REF!</v>
      </c>
      <c r="L13" s="99"/>
      <c r="M13" s="99" t="e">
        <f t="shared" si="0"/>
        <v>#REF!</v>
      </c>
      <c r="N13" s="92" t="e">
        <f>F13-M13</f>
        <v>#REF!</v>
      </c>
    </row>
    <row r="14" spans="2:14" ht="15" customHeight="1">
      <c r="B14" s="4" t="s">
        <v>76</v>
      </c>
      <c r="C14" s="47"/>
      <c r="D14" s="47"/>
      <c r="E14" s="47"/>
      <c r="F14" s="190" t="e">
        <f>#REF!+#REF!+#REF!+#REF!+#REF!+#REF!+#REF!+#REF!+#REF!+#REF!+#REF!+#REF!+#REF!+#REF!</f>
        <v>#REF!</v>
      </c>
      <c r="G14" s="193">
        <v>75.2</v>
      </c>
      <c r="H14" s="194">
        <f>G14</f>
        <v>75.2</v>
      </c>
      <c r="I14" s="117"/>
      <c r="J14" s="101"/>
      <c r="K14" s="99" t="e">
        <f>#REF!+#REF!+#REF!+#REF!+#REF!+#REF!+#REF!+#REF!+#REF!</f>
        <v>#REF!</v>
      </c>
      <c r="L14" s="99" t="e">
        <f>#REF!+#REF!+#REF!+#REF!+#REF!</f>
        <v>#REF!</v>
      </c>
      <c r="M14" s="99" t="e">
        <f t="shared" si="0"/>
        <v>#REF!</v>
      </c>
      <c r="N14" s="92" t="e">
        <f>F14-M14</f>
        <v>#REF!</v>
      </c>
    </row>
    <row r="15" spans="2:14" ht="17.25" customHeight="1">
      <c r="B15" s="4" t="s">
        <v>55</v>
      </c>
      <c r="C15" s="47"/>
      <c r="D15" s="47"/>
      <c r="E15" s="47"/>
      <c r="F15" s="191" t="e">
        <f>F16</f>
        <v>#REF!</v>
      </c>
      <c r="G15" s="191">
        <f>G16</f>
        <v>90</v>
      </c>
      <c r="H15" s="191">
        <f>H16</f>
        <v>90</v>
      </c>
      <c r="I15" s="192"/>
      <c r="J15" s="101"/>
      <c r="K15" s="99" t="e">
        <f>K16</f>
        <v>#REF!</v>
      </c>
      <c r="L15" s="99" t="e">
        <f>L16</f>
        <v>#REF!</v>
      </c>
      <c r="M15" s="99" t="e">
        <f t="shared" si="0"/>
        <v>#REF!</v>
      </c>
      <c r="N15" s="92" t="e">
        <f>F15-M15</f>
        <v>#REF!</v>
      </c>
    </row>
    <row r="16" spans="2:14" ht="12.75" customHeight="1">
      <c r="B16" t="s">
        <v>224</v>
      </c>
      <c r="C16" s="47"/>
      <c r="D16" s="47"/>
      <c r="E16" s="47"/>
      <c r="F16" s="120" t="e">
        <f>#REF!+маркин!F13+#REF!+#REF!+#REF!+#REF!+#REF!+#REF!+#REF!+#REF!</f>
        <v>#REF!</v>
      </c>
      <c r="G16" s="185">
        <v>90</v>
      </c>
      <c r="H16" s="118">
        <v>90</v>
      </c>
      <c r="I16" s="118"/>
      <c r="J16" s="101"/>
      <c r="K16" s="100" t="e">
        <f>#REF!+#REF!+#REF!+#REF!+#REF!+#REF!+маркин!F12+#REF!</f>
        <v>#REF!</v>
      </c>
      <c r="L16" s="100" t="e">
        <f>#REF!+#REF!</f>
        <v>#REF!</v>
      </c>
      <c r="M16" s="100" t="e">
        <f t="shared" si="0"/>
        <v>#REF!</v>
      </c>
      <c r="N16" s="92" t="e">
        <f>F16-M16</f>
        <v>#REF!</v>
      </c>
    </row>
    <row r="17" spans="2:14" ht="15" customHeight="1">
      <c r="B17" s="4" t="s">
        <v>79</v>
      </c>
      <c r="D17" s="62"/>
      <c r="F17" s="190">
        <f>F18</f>
        <v>0.7999999999999989</v>
      </c>
      <c r="G17" s="190">
        <f>G18</f>
        <v>0.8</v>
      </c>
      <c r="H17" s="190">
        <f>H18</f>
        <v>0.8400000000000001</v>
      </c>
      <c r="I17" s="190">
        <f>I18</f>
        <v>0</v>
      </c>
      <c r="J17" s="101"/>
      <c r="K17" s="99" t="e">
        <f>#REF!+K18</f>
        <v>#REF!</v>
      </c>
      <c r="L17" s="99" t="e">
        <f>#REF!+L18</f>
        <v>#REF!</v>
      </c>
      <c r="M17" s="99" t="e">
        <f t="shared" si="0"/>
        <v>#REF!</v>
      </c>
      <c r="N17" s="92" t="e">
        <f>D17-M17</f>
        <v>#REF!</v>
      </c>
    </row>
    <row r="18" spans="2:14" ht="12.75" customHeight="1">
      <c r="B18" s="22" t="s">
        <v>163</v>
      </c>
      <c r="F18" s="121">
        <f>маркин!G15</f>
        <v>0.7999999999999989</v>
      </c>
      <c r="G18" s="210">
        <v>0.8</v>
      </c>
      <c r="H18" s="116">
        <f>G18*1.05</f>
        <v>0.8400000000000001</v>
      </c>
      <c r="I18" s="116"/>
      <c r="J18" s="101"/>
      <c r="K18" s="100">
        <f>маркин!G15</f>
        <v>0.7999999999999989</v>
      </c>
      <c r="L18" s="100"/>
      <c r="M18" s="100">
        <f t="shared" si="0"/>
        <v>0.7999999999999989</v>
      </c>
      <c r="N18" s="92">
        <f>F18-M18</f>
        <v>0</v>
      </c>
    </row>
    <row r="19" spans="2:17" ht="15.75">
      <c r="B19" s="4" t="s">
        <v>3</v>
      </c>
      <c r="F19" s="122" t="e">
        <f>#REF!+#REF!+#REF!+#REF!+#REF!+#REF!+#REF!+#REF!+#REF!+маркин!E16+#REF!+#REF!+#REF!+#REF!+#REF!+#REF!</f>
        <v>#REF!</v>
      </c>
      <c r="G19" s="133">
        <v>13921</v>
      </c>
      <c r="H19" s="133">
        <v>15231.8</v>
      </c>
      <c r="I19" s="119"/>
      <c r="J19" s="28"/>
      <c r="K19" s="102" t="e">
        <f>#REF!+#REF!+#REF!+#REF!+#REF!+#REF!+#REF!+#REF!+#REF!+маркин!E16+#REF!</f>
        <v>#REF!</v>
      </c>
      <c r="L19" s="102" t="e">
        <f>#REF!+#REF!+#REF!+#REF!+#REF!</f>
        <v>#REF!</v>
      </c>
      <c r="M19" s="102" t="e">
        <f t="shared" si="0"/>
        <v>#REF!</v>
      </c>
      <c r="N19" s="92" t="e">
        <f>F19-M19</f>
        <v>#REF!</v>
      </c>
      <c r="P19">
        <v>211</v>
      </c>
      <c r="Q19" s="61" t="e">
        <f>F12+#REF!+#REF!</f>
        <v>#REF!</v>
      </c>
    </row>
    <row r="20" spans="2:15" ht="12.75">
      <c r="B20" s="4" t="s">
        <v>16</v>
      </c>
      <c r="E20" s="4"/>
      <c r="F20" s="188" t="e">
        <f>SUM(F21:F47)</f>
        <v>#REF!</v>
      </c>
      <c r="G20" s="188">
        <f>SUM(G21:G47)</f>
        <v>3436.9000000000005</v>
      </c>
      <c r="H20" s="188">
        <f>SUM(H21:H47)</f>
        <v>3303.5399999999995</v>
      </c>
      <c r="I20" s="189">
        <f>SUM(I21:I47)</f>
        <v>0</v>
      </c>
      <c r="J20" s="28"/>
      <c r="K20" s="103" t="e">
        <f>K21+K22+K23+K24+K25+K26+K27+K28+K29+K30+K31+K32+#REF!+K34+K35+K36+K37+K38+K39+#REF!+K40+#REF!+K41+#REF!+K42+K43+#REF!+#REF!+#REF!+#REF!+#REF!+#REF!+#REF!+#REF!+#REF!+#REF!+#REF!+K46+K47+#REF!+#REF!+#REF!+#REF!+#REF!+#REF!+#REF!+#REF!</f>
        <v>#REF!</v>
      </c>
      <c r="L20" s="103" t="e">
        <f>L21+L22+L23+L24+L25+L26+L27+L28+L29+L30+L31+L32+#REF!+L34+L35+L36+L37+L38+L39+#REF!+L40+#REF!+L41+#REF!+L42+L43+#REF!+#REF!+#REF!+#REF!+#REF!+#REF!+#REF!+#REF!+#REF!+#REF!+#REF!+L46+L47+#REF!+#REF!+#REF!+#REF!+#REF!+#REF!+#REF!+#REF!</f>
        <v>#REF!</v>
      </c>
      <c r="M20" s="103" t="e">
        <f aca="true" t="shared" si="1" ref="M20:M43">K20+L20</f>
        <v>#REF!</v>
      </c>
      <c r="N20" s="61" t="e">
        <f aca="true" t="shared" si="2" ref="N20:N47">F20-M20</f>
        <v>#REF!</v>
      </c>
      <c r="O20" s="10" t="e">
        <f>H20-F20</f>
        <v>#REF!</v>
      </c>
    </row>
    <row r="21" spans="2:14" ht="12.75">
      <c r="B21" t="s">
        <v>17</v>
      </c>
      <c r="F21" s="123" t="e">
        <f>#REF!+#REF!+#REF!+#REF!+#REF!+#REF!+#REF!+#REF!+#REF!+маркин!F26+#REF!+#REF!+#REF!+#REF!+#REF!+#REF!</f>
        <v>#REF!</v>
      </c>
      <c r="G21" s="110">
        <v>151.8</v>
      </c>
      <c r="H21" s="31">
        <f>G21*1.05</f>
        <v>159.39000000000001</v>
      </c>
      <c r="I21" s="28"/>
      <c r="J21" s="28"/>
      <c r="K21" s="31" t="e">
        <f>#REF!+#REF!+#REF!+#REF!+#REF!+#REF!+#REF!+#REF!+#REF!+маркин!F26+#REF!</f>
        <v>#REF!</v>
      </c>
      <c r="L21" s="31" t="e">
        <f>#REF!+#REF!+#REF!+#REF!+#REF!</f>
        <v>#REF!</v>
      </c>
      <c r="M21" s="31" t="e">
        <f t="shared" si="1"/>
        <v>#REF!</v>
      </c>
      <c r="N21" s="61" t="e">
        <f t="shared" si="2"/>
        <v>#REF!</v>
      </c>
    </row>
    <row r="22" spans="2:14" ht="12.75">
      <c r="B22" t="s">
        <v>228</v>
      </c>
      <c r="F22" s="124" t="e">
        <f>#REF!+#REF!+#REF!+#REF!+#REF!+#REF!+#REF!+#REF!</f>
        <v>#REF!</v>
      </c>
      <c r="G22" s="110">
        <v>245</v>
      </c>
      <c r="H22" s="31">
        <f aca="true" t="shared" si="3" ref="H22:H47">G22*1.05</f>
        <v>257.25</v>
      </c>
      <c r="I22" s="28"/>
      <c r="J22" s="28"/>
      <c r="K22" s="31" t="e">
        <f>#REF!+#REF!+#REF!+#REF!+#REF!+#REF!+#REF!+#REF!</f>
        <v>#REF!</v>
      </c>
      <c r="L22" s="31"/>
      <c r="M22" s="31" t="e">
        <f t="shared" si="1"/>
        <v>#REF!</v>
      </c>
      <c r="N22" s="61" t="e">
        <f t="shared" si="2"/>
        <v>#REF!</v>
      </c>
    </row>
    <row r="23" spans="2:14" ht="12.75">
      <c r="B23" t="s">
        <v>128</v>
      </c>
      <c r="F23" s="124" t="e">
        <f>#REF!+#REF!+#REF!+#REF!+#REF!+#REF!+#REF!+#REF!+#REF!+маркин!F27+#REF!+#REF!+#REF!+#REF!+#REF!+#REF!</f>
        <v>#REF!</v>
      </c>
      <c r="G23" s="110">
        <v>125.2</v>
      </c>
      <c r="H23" s="31">
        <f t="shared" si="3"/>
        <v>131.46</v>
      </c>
      <c r="I23" s="28"/>
      <c r="J23" s="28"/>
      <c r="K23" s="31" t="e">
        <f>#REF!+#REF!+#REF!+#REF!+#REF!+#REF!+#REF!+#REF!+#REF!+маркин!F27+#REF!</f>
        <v>#REF!</v>
      </c>
      <c r="L23" s="31" t="e">
        <f>#REF!+#REF!+#REF!+#REF!+#REF!</f>
        <v>#REF!</v>
      </c>
      <c r="M23" s="31" t="e">
        <f t="shared" si="1"/>
        <v>#REF!</v>
      </c>
      <c r="N23" s="61" t="e">
        <f t="shared" si="2"/>
        <v>#REF!</v>
      </c>
    </row>
    <row r="24" spans="2:14" ht="12.75">
      <c r="B24" t="s">
        <v>18</v>
      </c>
      <c r="F24" s="124" t="e">
        <f>#REF!+#REF!+#REF!+#REF!+#REF!+#REF!+#REF!+#REF!+маркин!F28+#REF!+#REF!</f>
        <v>#REF!</v>
      </c>
      <c r="G24" s="110">
        <v>7</v>
      </c>
      <c r="H24" s="31">
        <f t="shared" si="3"/>
        <v>7.3500000000000005</v>
      </c>
      <c r="I24" s="28"/>
      <c r="J24" s="28"/>
      <c r="K24" s="31" t="e">
        <f>#REF!+#REF!+#REF!+#REF!+#REF!+#REF!+#REF!+маркин!F28+#REF!</f>
        <v>#REF!</v>
      </c>
      <c r="L24" s="31" t="e">
        <f>#REF!+#REF!</f>
        <v>#REF!</v>
      </c>
      <c r="M24" s="31" t="e">
        <f t="shared" si="1"/>
        <v>#REF!</v>
      </c>
      <c r="N24" s="61" t="e">
        <f t="shared" si="2"/>
        <v>#REF!</v>
      </c>
    </row>
    <row r="25" spans="2:14" ht="12.75">
      <c r="B25" t="s">
        <v>19</v>
      </c>
      <c r="F25" s="124" t="e">
        <f>#REF!+#REF!+#REF!+#REF!+#REF!+#REF!+#REF!+маркин!F30+#REF!+#REF!</f>
        <v>#REF!</v>
      </c>
      <c r="G25" s="110">
        <v>62.6</v>
      </c>
      <c r="H25" s="31">
        <f t="shared" si="3"/>
        <v>65.73</v>
      </c>
      <c r="I25" s="28"/>
      <c r="J25" s="28"/>
      <c r="K25" s="31" t="e">
        <f>#REF!+#REF!+#REF!+#REF!+#REF!+#REF!+#REF!+маркин!F30</f>
        <v>#REF!</v>
      </c>
      <c r="L25" s="31" t="e">
        <f>#REF!+#REF!</f>
        <v>#REF!</v>
      </c>
      <c r="M25" s="31" t="e">
        <f t="shared" si="1"/>
        <v>#REF!</v>
      </c>
      <c r="N25" s="61" t="e">
        <f t="shared" si="2"/>
        <v>#REF!</v>
      </c>
    </row>
    <row r="26" spans="2:14" ht="12.75">
      <c r="B26" t="s">
        <v>20</v>
      </c>
      <c r="F26" s="124" t="e">
        <f>#REF!+#REF!+#REF!+#REF!+#REF!+#REF!+#REF!+маркин!F31+#REF!+#REF!</f>
        <v>#REF!</v>
      </c>
      <c r="G26" s="110">
        <v>292</v>
      </c>
      <c r="H26" s="31">
        <f t="shared" si="3"/>
        <v>306.6</v>
      </c>
      <c r="I26" s="28"/>
      <c r="J26" s="28"/>
      <c r="K26" s="31" t="e">
        <f>#REF!+#REF!+#REF!+#REF!+#REF!+#REF!+маркин!F31+#REF!</f>
        <v>#REF!</v>
      </c>
      <c r="L26" s="31" t="e">
        <f>#REF!+#REF!</f>
        <v>#REF!</v>
      </c>
      <c r="M26" s="31" t="e">
        <f t="shared" si="1"/>
        <v>#REF!</v>
      </c>
      <c r="N26" s="61" t="e">
        <f t="shared" si="2"/>
        <v>#REF!</v>
      </c>
    </row>
    <row r="27" spans="2:14" ht="12.75">
      <c r="B27" t="s">
        <v>111</v>
      </c>
      <c r="E27" s="11"/>
      <c r="F27" s="124" t="e">
        <f>#REF!+#REF!+#REF!+#REF!+#REF!+#REF!+#REF!+#REF!+#REF!+маркин!F32+#REF!+#REF!+#REF!+#REF!+#REF!+#REF!</f>
        <v>#REF!</v>
      </c>
      <c r="G27" s="110">
        <v>348.1</v>
      </c>
      <c r="H27" s="31">
        <f t="shared" si="3"/>
        <v>365.50500000000005</v>
      </c>
      <c r="I27" s="28"/>
      <c r="J27" s="28"/>
      <c r="K27" s="31" t="e">
        <f>#REF!+#REF!+#REF!+#REF!+#REF!+#REF!+#REF!+#REF!+#REF!+маркин!F32+#REF!</f>
        <v>#REF!</v>
      </c>
      <c r="L27" s="31" t="e">
        <f>#REF!+#REF!+#REF!+#REF!+#REF!</f>
        <v>#REF!</v>
      </c>
      <c r="M27" s="31" t="e">
        <f t="shared" si="1"/>
        <v>#REF!</v>
      </c>
      <c r="N27" s="61" t="e">
        <f t="shared" si="2"/>
        <v>#REF!</v>
      </c>
    </row>
    <row r="28" spans="2:14" ht="12.75">
      <c r="B28" t="s">
        <v>272</v>
      </c>
      <c r="E28" s="11"/>
      <c r="F28" s="124" t="e">
        <f>#REF!+#REF!+маркин!#REF!</f>
        <v>#REF!</v>
      </c>
      <c r="G28" s="110">
        <v>60.8</v>
      </c>
      <c r="H28" s="31">
        <f t="shared" si="3"/>
        <v>63.839999999999996</v>
      </c>
      <c r="I28" s="28"/>
      <c r="J28" s="28"/>
      <c r="K28" s="31" t="e">
        <f>#REF!+маркин!#REF!</f>
        <v>#REF!</v>
      </c>
      <c r="L28" s="31" t="e">
        <f>#REF!</f>
        <v>#REF!</v>
      </c>
      <c r="M28" s="31" t="e">
        <f t="shared" si="1"/>
        <v>#REF!</v>
      </c>
      <c r="N28" s="61" t="e">
        <f t="shared" si="2"/>
        <v>#REF!</v>
      </c>
    </row>
    <row r="29" spans="2:14" ht="12.75">
      <c r="B29" t="s">
        <v>74</v>
      </c>
      <c r="E29" s="11"/>
      <c r="F29" s="124" t="e">
        <f>#REF!+#REF!+#REF!+маркин!F29+#REF!+#REF!</f>
        <v>#REF!</v>
      </c>
      <c r="G29" s="110">
        <v>177.2</v>
      </c>
      <c r="H29" s="31">
        <f t="shared" si="3"/>
        <v>186.06</v>
      </c>
      <c r="I29" s="28"/>
      <c r="J29" s="28"/>
      <c r="K29" s="31" t="e">
        <f>#REF!+#REF!+маркин!F29</f>
        <v>#REF!</v>
      </c>
      <c r="L29" s="31" t="e">
        <f>#REF!+#REF!+#REF!</f>
        <v>#REF!</v>
      </c>
      <c r="M29" s="31" t="e">
        <f t="shared" si="1"/>
        <v>#REF!</v>
      </c>
      <c r="N29" s="61" t="e">
        <f t="shared" si="2"/>
        <v>#REF!</v>
      </c>
    </row>
    <row r="30" spans="2:14" ht="12.75">
      <c r="B30" t="s">
        <v>21</v>
      </c>
      <c r="E30" s="11"/>
      <c r="F30" s="124" t="e">
        <f>#REF!+#REF!+#REF!+#REF!+#REF!+#REF!+#REF!+#REF!+#REF!+маркин!F37+#REF!+#REF!+#REF!+#REF!+#REF!+#REF!</f>
        <v>#REF!</v>
      </c>
      <c r="G30" s="110">
        <v>240</v>
      </c>
      <c r="H30" s="31">
        <f t="shared" si="3"/>
        <v>252</v>
      </c>
      <c r="I30" s="28"/>
      <c r="J30" s="28"/>
      <c r="K30" s="31" t="e">
        <f>#REF!+#REF!+#REF!+#REF!+#REF!+#REF!+#REF!+#REF!+#REF!+маркин!F37+#REF!</f>
        <v>#REF!</v>
      </c>
      <c r="L30" s="31" t="e">
        <f>#REF!+#REF!+#REF!+#REF!+#REF!</f>
        <v>#REF!</v>
      </c>
      <c r="M30" s="31" t="e">
        <f t="shared" si="1"/>
        <v>#REF!</v>
      </c>
      <c r="N30" s="61" t="e">
        <f t="shared" si="2"/>
        <v>#REF!</v>
      </c>
    </row>
    <row r="31" spans="2:14" ht="12.75">
      <c r="B31" t="s">
        <v>22</v>
      </c>
      <c r="E31" s="11"/>
      <c r="F31" s="124" t="e">
        <f>#REF!+#REF!+#REF!+#REF!+#REF!+#REF!+#REF!+#REF!+маркин!F33+#REF!+#REF!+#REF!+#REF!+#REF!+#REF!</f>
        <v>#REF!</v>
      </c>
      <c r="G31" s="110">
        <v>56.1</v>
      </c>
      <c r="H31" s="31">
        <f t="shared" si="3"/>
        <v>58.905</v>
      </c>
      <c r="I31" s="28"/>
      <c r="J31" s="28"/>
      <c r="K31" s="31" t="e">
        <f>#REF!+#REF!+#REF!+#REF!+#REF!+#REF!+#REF!+#REF!+маркин!F33+#REF!</f>
        <v>#REF!</v>
      </c>
      <c r="L31" s="31" t="e">
        <f>#REF!+#REF!+#REF!+#REF!+#REF!</f>
        <v>#REF!</v>
      </c>
      <c r="M31" s="31" t="e">
        <f t="shared" si="1"/>
        <v>#REF!</v>
      </c>
      <c r="N31" s="61" t="e">
        <f t="shared" si="2"/>
        <v>#REF!</v>
      </c>
    </row>
    <row r="32" spans="2:14" ht="12.75">
      <c r="B32" t="s">
        <v>237</v>
      </c>
      <c r="E32" s="11"/>
      <c r="F32" s="124" t="e">
        <f>#REF!+#REF!+#REF!+#REF!+#REF!+#REF!+#REF!+#REF!+#REF!+маркин!F35+#REF!+#REF!+#REF!+#REF!+#REF!+#REF!</f>
        <v>#REF!</v>
      </c>
      <c r="G32" s="110">
        <v>388.5</v>
      </c>
      <c r="H32" s="31">
        <f t="shared" si="3"/>
        <v>407.925</v>
      </c>
      <c r="I32" s="28"/>
      <c r="J32" s="28"/>
      <c r="K32" s="31" t="e">
        <f>#REF!+#REF!+#REF!+#REF!+#REF!+#REF!+#REF!+#REF!+#REF!+маркин!F35+#REF!</f>
        <v>#REF!</v>
      </c>
      <c r="L32" s="31" t="e">
        <f>#REF!+#REF!+#REF!+#REF!+#REF!</f>
        <v>#REF!</v>
      </c>
      <c r="M32" s="31" t="e">
        <f t="shared" si="1"/>
        <v>#REF!</v>
      </c>
      <c r="N32" s="61" t="e">
        <f t="shared" si="2"/>
        <v>#REF!</v>
      </c>
    </row>
    <row r="33" spans="2:14" ht="12.75">
      <c r="B33" t="s">
        <v>233</v>
      </c>
      <c r="E33" s="11"/>
      <c r="F33" s="124"/>
      <c r="G33" s="110">
        <v>96</v>
      </c>
      <c r="H33" s="31">
        <f>G33</f>
        <v>96</v>
      </c>
      <c r="I33" s="28"/>
      <c r="J33" s="28"/>
      <c r="K33" s="31"/>
      <c r="L33" s="31"/>
      <c r="M33" s="31"/>
      <c r="N33" s="61"/>
    </row>
    <row r="34" spans="2:14" ht="12.75">
      <c r="B34" t="s">
        <v>115</v>
      </c>
      <c r="E34" s="11"/>
      <c r="F34" s="124" t="e">
        <f>#REF!+#REF!+маркин!F39+#REF!+#REF!</f>
        <v>#REF!</v>
      </c>
      <c r="G34" s="209">
        <v>40.3</v>
      </c>
      <c r="H34" s="31">
        <f t="shared" si="3"/>
        <v>42.315</v>
      </c>
      <c r="I34" s="28"/>
      <c r="J34" s="28"/>
      <c r="K34" s="31" t="e">
        <f>#REF!+маркин!F39+#REF!+#REF!</f>
        <v>#REF!</v>
      </c>
      <c r="L34" s="31" t="e">
        <f>#REF!</f>
        <v>#REF!</v>
      </c>
      <c r="M34" s="31" t="e">
        <f t="shared" si="1"/>
        <v>#REF!</v>
      </c>
      <c r="N34" s="61" t="e">
        <f t="shared" si="2"/>
        <v>#REF!</v>
      </c>
    </row>
    <row r="35" spans="2:14" ht="12.75">
      <c r="B35" t="s">
        <v>119</v>
      </c>
      <c r="E35" s="11"/>
      <c r="F35" s="124" t="e">
        <f>#REF!+#REF!+#REF!+#REF!+#REF!+#REF!+#REF!+#REF!+#REF!+маркин!F34+#REF!+#REF!+#REF!+#REF!+#REF!</f>
        <v>#REF!</v>
      </c>
      <c r="G35" s="110">
        <v>90</v>
      </c>
      <c r="H35" s="31">
        <f t="shared" si="3"/>
        <v>94.5</v>
      </c>
      <c r="I35" s="28"/>
      <c r="J35" s="28"/>
      <c r="K35" s="31" t="e">
        <f>#REF!+#REF!+#REF!+#REF!+#REF!+#REF!+#REF!+#REF!+#REF!+маркин!F34+#REF!</f>
        <v>#REF!</v>
      </c>
      <c r="L35" s="31" t="e">
        <f>#REF!+#REF!+#REF!+#REF!</f>
        <v>#REF!</v>
      </c>
      <c r="M35" s="31" t="e">
        <f t="shared" si="1"/>
        <v>#REF!</v>
      </c>
      <c r="N35" s="61" t="e">
        <f t="shared" si="2"/>
        <v>#REF!</v>
      </c>
    </row>
    <row r="36" spans="2:14" ht="12.75">
      <c r="B36" t="s">
        <v>173</v>
      </c>
      <c r="E36" s="4"/>
      <c r="F36" s="125" t="e">
        <f>#REF!+маркин!F42</f>
        <v>#REF!</v>
      </c>
      <c r="G36" s="111"/>
      <c r="H36" s="31">
        <f t="shared" si="3"/>
        <v>0</v>
      </c>
      <c r="I36" s="28"/>
      <c r="J36" s="28"/>
      <c r="K36" s="31" t="e">
        <f>#REF!+маркин!F42</f>
        <v>#REF!</v>
      </c>
      <c r="L36" s="31"/>
      <c r="M36" s="31" t="e">
        <f t="shared" si="1"/>
        <v>#REF!</v>
      </c>
      <c r="N36" s="61" t="e">
        <f t="shared" si="2"/>
        <v>#REF!</v>
      </c>
    </row>
    <row r="37" spans="2:14" ht="12.75">
      <c r="B37" t="s">
        <v>120</v>
      </c>
      <c r="E37" s="11"/>
      <c r="F37" s="124" t="e">
        <f>#REF!+#REF!+#REF!+#REF!+#REF!+#REF!+маркин!F41+#REF!+#REF!+#REF!+#REF!+#REF!+#REF!</f>
        <v>#REF!</v>
      </c>
      <c r="G37" s="110">
        <v>102.8</v>
      </c>
      <c r="H37" s="31">
        <f t="shared" si="3"/>
        <v>107.94</v>
      </c>
      <c r="I37" s="28"/>
      <c r="J37" s="28"/>
      <c r="K37" s="31" t="e">
        <f>#REF!+#REF!+#REF!+#REF!+#REF!+#REF!+#REF!+маркин!F41+#REF!</f>
        <v>#REF!</v>
      </c>
      <c r="L37" s="31" t="e">
        <f>#REF!+#REF!+#REF!+#REF!+#REF!</f>
        <v>#REF!</v>
      </c>
      <c r="M37" s="31" t="e">
        <f t="shared" si="1"/>
        <v>#REF!</v>
      </c>
      <c r="N37" s="61" t="e">
        <f t="shared" si="2"/>
        <v>#REF!</v>
      </c>
    </row>
    <row r="38" spans="2:14" ht="12.75">
      <c r="B38" t="s">
        <v>121</v>
      </c>
      <c r="E38" s="11"/>
      <c r="F38" s="124" t="e">
        <f>#REF!+#REF!+#REF!+маркин!F40+#REF!+#REF!+#REF!+#REF!+#REF!+#REF!</f>
        <v>#REF!</v>
      </c>
      <c r="G38" s="110">
        <v>14.4</v>
      </c>
      <c r="H38" s="31">
        <f t="shared" si="3"/>
        <v>15.120000000000001</v>
      </c>
      <c r="I38" s="28"/>
      <c r="J38" s="28"/>
      <c r="K38" s="31" t="e">
        <f>#REF!+#REF!+#REF!+#REF!+маркин!F40+#REF!+#REF!+#REF!</f>
        <v>#REF!</v>
      </c>
      <c r="L38" s="31" t="e">
        <f>#REF!+#REF!</f>
        <v>#REF!</v>
      </c>
      <c r="M38" s="31" t="e">
        <f t="shared" si="1"/>
        <v>#REF!</v>
      </c>
      <c r="N38" s="61" t="e">
        <f t="shared" si="2"/>
        <v>#REF!</v>
      </c>
    </row>
    <row r="39" spans="2:14" ht="12.75">
      <c r="B39" t="s">
        <v>122</v>
      </c>
      <c r="E39" s="11"/>
      <c r="F39" s="124" t="e">
        <f>#REF!+#REF!+#REF!+#REF!+#REF!+#REF!+маркин!#REF!+#REF!+#REF!+#REF!</f>
        <v>#REF!</v>
      </c>
      <c r="G39" s="110">
        <v>48</v>
      </c>
      <c r="H39" s="31">
        <f t="shared" si="3"/>
        <v>50.400000000000006</v>
      </c>
      <c r="I39" s="28"/>
      <c r="J39" s="28"/>
      <c r="K39" s="31" t="e">
        <f>#REF!+#REF!+#REF!+#REF!+#REF!+#REF!+маркин!#REF!</f>
        <v>#REF!</v>
      </c>
      <c r="L39" s="31" t="e">
        <f>#REF!+#REF!+#REF!</f>
        <v>#REF!</v>
      </c>
      <c r="M39" s="31" t="e">
        <f t="shared" si="1"/>
        <v>#REF!</v>
      </c>
      <c r="N39" s="61" t="e">
        <f t="shared" si="2"/>
        <v>#REF!</v>
      </c>
    </row>
    <row r="40" spans="2:37" ht="12.75">
      <c r="B40" t="s">
        <v>123</v>
      </c>
      <c r="E40" s="11"/>
      <c r="F40" s="124" t="e">
        <f>#REF!+#REF!+#REF!</f>
        <v>#REF!</v>
      </c>
      <c r="G40" s="110">
        <v>15</v>
      </c>
      <c r="H40" s="31">
        <f t="shared" si="3"/>
        <v>15.75</v>
      </c>
      <c r="I40" s="28"/>
      <c r="J40" s="28"/>
      <c r="K40" s="31" t="e">
        <f>#REF!+#REF!</f>
        <v>#REF!</v>
      </c>
      <c r="L40" s="31" t="e">
        <f>#REF!</f>
        <v>#REF!</v>
      </c>
      <c r="M40" s="31" t="e">
        <f t="shared" si="1"/>
        <v>#REF!</v>
      </c>
      <c r="N40" s="61" t="e">
        <f t="shared" si="2"/>
        <v>#REF!</v>
      </c>
      <c r="P40" s="28"/>
      <c r="Q40" s="28" t="s">
        <v>198</v>
      </c>
      <c r="R40" s="28" t="s">
        <v>199</v>
      </c>
      <c r="S40" s="28" t="s">
        <v>201</v>
      </c>
      <c r="T40" s="28" t="s">
        <v>202</v>
      </c>
      <c r="U40" s="28" t="s">
        <v>200</v>
      </c>
      <c r="V40" s="28" t="s">
        <v>207</v>
      </c>
      <c r="W40" s="28" t="s">
        <v>203</v>
      </c>
      <c r="X40" s="28" t="s">
        <v>204</v>
      </c>
      <c r="Y40" s="28" t="s">
        <v>205</v>
      </c>
      <c r="Z40" s="28" t="s">
        <v>206</v>
      </c>
      <c r="AA40" s="28" t="s">
        <v>208</v>
      </c>
      <c r="AB40" s="28" t="s">
        <v>209</v>
      </c>
      <c r="AC40" s="6" t="s">
        <v>210</v>
      </c>
      <c r="AD40" s="6" t="s">
        <v>211</v>
      </c>
      <c r="AE40" s="28" t="s">
        <v>212</v>
      </c>
      <c r="AF40" s="28" t="s">
        <v>213</v>
      </c>
      <c r="AG40" s="28" t="s">
        <v>214</v>
      </c>
      <c r="AH40" s="28" t="s">
        <v>215</v>
      </c>
      <c r="AI40" s="6" t="s">
        <v>216</v>
      </c>
      <c r="AJ40" s="6" t="s">
        <v>217</v>
      </c>
      <c r="AK40" s="97" t="s">
        <v>218</v>
      </c>
    </row>
    <row r="41" spans="2:38" ht="12.75">
      <c r="B41" t="s">
        <v>124</v>
      </c>
      <c r="E41" s="11"/>
      <c r="F41" s="124" t="e">
        <f>#REF!+#REF!+#REF!+#REF!</f>
        <v>#REF!</v>
      </c>
      <c r="G41" s="110">
        <v>99</v>
      </c>
      <c r="H41" s="31">
        <f t="shared" si="3"/>
        <v>103.95</v>
      </c>
      <c r="I41" s="28"/>
      <c r="J41" s="28"/>
      <c r="K41" s="31" t="e">
        <f>#REF!+#REF!+#REF!</f>
        <v>#REF!</v>
      </c>
      <c r="L41" s="31" t="e">
        <f>#REF!</f>
        <v>#REF!</v>
      </c>
      <c r="M41" s="31" t="e">
        <f t="shared" si="1"/>
        <v>#REF!</v>
      </c>
      <c r="N41" s="61" t="e">
        <f t="shared" si="2"/>
        <v>#REF!</v>
      </c>
      <c r="P41" s="28" t="s">
        <v>197</v>
      </c>
      <c r="Q41" s="31" t="e">
        <f>#REF!+#REF!+#REF!+#REF!+#REF!</f>
        <v>#REF!</v>
      </c>
      <c r="R41" s="31" t="e">
        <f>#REF!+#REF!+#REF!+#REF!+#REF!</f>
        <v>#REF!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10"/>
      <c r="AL41" s="10"/>
    </row>
    <row r="42" spans="2:38" ht="12.75">
      <c r="B42" t="s">
        <v>270</v>
      </c>
      <c r="E42" s="11"/>
      <c r="F42" s="124" t="e">
        <f>#REF!+#REF!+#REF!+#REF!+маркин!#REF!+#REF!+#REF!</f>
        <v>#REF!</v>
      </c>
      <c r="G42" s="110">
        <v>19</v>
      </c>
      <c r="H42" s="31">
        <f t="shared" si="3"/>
        <v>19.95</v>
      </c>
      <c r="I42" s="28"/>
      <c r="J42" s="28"/>
      <c r="K42" s="31" t="e">
        <f>#REF!+#REF!+#REF!+маркин!#REF!</f>
        <v>#REF!</v>
      </c>
      <c r="L42" s="31" t="e">
        <f>#REF!+#REF!+#REF!</f>
        <v>#REF!</v>
      </c>
      <c r="M42" s="31" t="e">
        <f t="shared" si="1"/>
        <v>#REF!</v>
      </c>
      <c r="N42" s="61" t="e">
        <f t="shared" si="2"/>
        <v>#REF!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2:14" ht="12.75">
      <c r="B43" t="s">
        <v>125</v>
      </c>
      <c r="E43" s="11"/>
      <c r="F43" s="124" t="e">
        <f>#REF!+#REF!+#REF!+#REF!</f>
        <v>#REF!</v>
      </c>
      <c r="G43" s="110">
        <v>17</v>
      </c>
      <c r="H43" s="31">
        <f t="shared" si="3"/>
        <v>17.85</v>
      </c>
      <c r="I43" s="28"/>
      <c r="J43" s="28"/>
      <c r="K43" s="31" t="e">
        <f>#REF!+#REF!+#REF!</f>
        <v>#REF!</v>
      </c>
      <c r="L43" s="31" t="e">
        <f>#REF!</f>
        <v>#REF!</v>
      </c>
      <c r="M43" s="31" t="e">
        <f t="shared" si="1"/>
        <v>#REF!</v>
      </c>
      <c r="N43" s="61" t="e">
        <f t="shared" si="2"/>
        <v>#REF!</v>
      </c>
    </row>
    <row r="44" spans="2:14" ht="12.75">
      <c r="B44" s="12" t="s">
        <v>238</v>
      </c>
      <c r="C44" s="12"/>
      <c r="E44" s="11"/>
      <c r="F44" s="45"/>
      <c r="G44" s="110">
        <v>286.1</v>
      </c>
      <c r="H44" s="31"/>
      <c r="I44" s="28"/>
      <c r="J44" s="28"/>
      <c r="K44" s="31"/>
      <c r="L44" s="31"/>
      <c r="M44" s="31"/>
      <c r="N44" s="61"/>
    </row>
    <row r="45" spans="2:14" ht="12.75">
      <c r="B45" s="12" t="s">
        <v>239</v>
      </c>
      <c r="C45" s="12"/>
      <c r="E45" s="11"/>
      <c r="F45" s="45"/>
      <c r="G45" s="110">
        <v>170</v>
      </c>
      <c r="H45" s="31">
        <f t="shared" si="3"/>
        <v>178.5</v>
      </c>
      <c r="I45" s="28"/>
      <c r="J45" s="28"/>
      <c r="K45" s="31"/>
      <c r="L45" s="31"/>
      <c r="M45" s="31"/>
      <c r="N45" s="61"/>
    </row>
    <row r="46" spans="2:14" ht="12.75">
      <c r="B46" s="230" t="s">
        <v>191</v>
      </c>
      <c r="C46" s="230"/>
      <c r="D46" s="230"/>
      <c r="E46" s="11"/>
      <c r="F46" s="45" t="e">
        <f>#REF!+#REF!+#REF!</f>
        <v>#REF!</v>
      </c>
      <c r="G46" s="187">
        <v>285</v>
      </c>
      <c r="H46" s="31">
        <f t="shared" si="3"/>
        <v>299.25</v>
      </c>
      <c r="I46" s="28"/>
      <c r="J46" s="28"/>
      <c r="K46" s="31" t="e">
        <f>#REF!+#REF!</f>
        <v>#REF!</v>
      </c>
      <c r="L46" s="31" t="e">
        <f>#REF!</f>
        <v>#REF!</v>
      </c>
      <c r="M46" s="31" t="e">
        <f aca="true" t="shared" si="4" ref="M46:M64">K46+L46</f>
        <v>#REF!</v>
      </c>
      <c r="N46" s="61" t="e">
        <f t="shared" si="2"/>
        <v>#REF!</v>
      </c>
    </row>
    <row r="47" spans="2:14" ht="12.75">
      <c r="B47" s="230" t="s">
        <v>195</v>
      </c>
      <c r="C47" s="230"/>
      <c r="D47" s="12"/>
      <c r="E47" s="11"/>
      <c r="F47" s="45" t="e">
        <f>#REF!</f>
        <v>#REF!</v>
      </c>
      <c r="G47" s="111"/>
      <c r="H47" s="31">
        <f t="shared" si="3"/>
        <v>0</v>
      </c>
      <c r="I47" s="28"/>
      <c r="J47" s="28"/>
      <c r="K47" s="31"/>
      <c r="L47" s="31" t="e">
        <f>#REF!</f>
        <v>#REF!</v>
      </c>
      <c r="M47" s="31" t="e">
        <f t="shared" si="4"/>
        <v>#REF!</v>
      </c>
      <c r="N47" s="61" t="e">
        <f t="shared" si="2"/>
        <v>#REF!</v>
      </c>
    </row>
    <row r="48" spans="2:14" ht="12.75">
      <c r="B48" s="4" t="s">
        <v>23</v>
      </c>
      <c r="D48" s="5"/>
      <c r="F48" s="189" t="e">
        <f>SUM(F49:F82)</f>
        <v>#REF!</v>
      </c>
      <c r="G48" s="189">
        <f>SUM(G49:G82)</f>
        <v>3893.4000000000005</v>
      </c>
      <c r="H48" s="189">
        <f>SUM(H49:H82)</f>
        <v>4014.7199999999993</v>
      </c>
      <c r="I48" s="189">
        <f>SUM(I49:I82)</f>
        <v>0</v>
      </c>
      <c r="J48" s="28"/>
      <c r="K48" s="103" t="e">
        <f>K49+K50+K51+K52+K53+K54+K55+K56+K57+K58+K59+K60+K62+K63+K64+#REF!+K65+K67+K68+K69+#REF!+#REF!+K70+K71+K72+K74+K75+K76+K77+K78+K79+K80</f>
        <v>#REF!</v>
      </c>
      <c r="L48" s="103" t="e">
        <f>L49+L50+L51+L52+L53+L54+L55+L56+L57+L58+L59+L60+L62+L63+L64+#REF!+L65+L67+L68+L69+#REF!+#REF!+L70+L71+L72+L74+L75+L76+L77+L78+L79+L80</f>
        <v>#REF!</v>
      </c>
      <c r="M48" s="103" t="e">
        <f t="shared" si="4"/>
        <v>#REF!</v>
      </c>
      <c r="N48" s="61" t="e">
        <f aca="true" t="shared" si="5" ref="N48:N80">F48-M48</f>
        <v>#REF!</v>
      </c>
    </row>
    <row r="49" spans="2:14" ht="12.75">
      <c r="B49" t="s">
        <v>24</v>
      </c>
      <c r="F49" s="124" t="e">
        <f>#REF!+#REF!+#REF!+#REF!+#REF!+#REF!+#REF!+#REF!+#REF!+маркин!E46+#REF!+#REF!+#REF!+#REF!+#REF!+#REF!</f>
        <v>#REF!</v>
      </c>
      <c r="G49" s="187">
        <v>887.5</v>
      </c>
      <c r="H49" s="128">
        <f>G49*1.05</f>
        <v>931.875</v>
      </c>
      <c r="I49" s="28"/>
      <c r="J49" s="28"/>
      <c r="K49" s="31" t="e">
        <f>#REF!+#REF!+#REF!+#REF!+#REF!+#REF!+#REF!+#REF!+#REF!+маркин!E46+#REF!</f>
        <v>#REF!</v>
      </c>
      <c r="L49" s="31" t="e">
        <f>#REF!+#REF!+#REF!+#REF!+#REF!</f>
        <v>#REF!</v>
      </c>
      <c r="M49" s="103" t="e">
        <f t="shared" si="4"/>
        <v>#REF!</v>
      </c>
      <c r="N49" s="61" t="e">
        <f t="shared" si="5"/>
        <v>#REF!</v>
      </c>
    </row>
    <row r="50" spans="2:14" ht="12.75">
      <c r="B50" t="s">
        <v>113</v>
      </c>
      <c r="F50" s="124" t="e">
        <f>#REF!+#REF!+#REF!+#REF!+#REF!+#REF!+#REF!+#REF!+#REF!+маркин!E47+#REF!+#REF!+#REF!+#REF!+#REF!+#REF!</f>
        <v>#REF!</v>
      </c>
      <c r="G50" s="187">
        <v>41.8</v>
      </c>
      <c r="H50" s="128">
        <f aca="true" t="shared" si="6" ref="H50:H80">G50*1.05</f>
        <v>43.89</v>
      </c>
      <c r="I50" s="28"/>
      <c r="J50" s="28"/>
      <c r="K50" s="31" t="e">
        <f>#REF!+#REF!+#REF!+#REF!+#REF!+#REF!+#REF!+#REF!+#REF!+маркин!E47+#REF!</f>
        <v>#REF!</v>
      </c>
      <c r="L50" s="31" t="e">
        <f>#REF!+#REF!+#REF!+#REF!+#REF!</f>
        <v>#REF!</v>
      </c>
      <c r="M50" s="103" t="e">
        <f t="shared" si="4"/>
        <v>#REF!</v>
      </c>
      <c r="N50" s="61" t="e">
        <f t="shared" si="5"/>
        <v>#REF!</v>
      </c>
    </row>
    <row r="51" spans="2:14" ht="12.75">
      <c r="B51" t="s">
        <v>114</v>
      </c>
      <c r="F51" s="124" t="e">
        <f>#REF!+#REF!+#REF!+#REF!+#REF!+#REF!+#REF!+#REF!+#REF!+маркин!E48+#REF!+#REF!+#REF!+#REF!+#REF!+#REF!</f>
        <v>#REF!</v>
      </c>
      <c r="G51" s="110">
        <v>55.4</v>
      </c>
      <c r="H51" s="128">
        <f t="shared" si="6"/>
        <v>58.17</v>
      </c>
      <c r="I51" s="28"/>
      <c r="J51" s="28"/>
      <c r="K51" s="31" t="e">
        <f>#REF!+#REF!+#REF!+#REF!+#REF!+#REF!+#REF!+#REF!+#REF!+маркин!E48+#REF!</f>
        <v>#REF!</v>
      </c>
      <c r="L51" s="31" t="e">
        <f>#REF!+#REF!+#REF!+#REF!+#REF!</f>
        <v>#REF!</v>
      </c>
      <c r="M51" s="103" t="e">
        <f t="shared" si="4"/>
        <v>#REF!</v>
      </c>
      <c r="N51" s="61" t="e">
        <f t="shared" si="5"/>
        <v>#REF!</v>
      </c>
    </row>
    <row r="52" spans="2:14" ht="12.75">
      <c r="B52" t="s">
        <v>25</v>
      </c>
      <c r="F52" s="124" t="e">
        <f>#REF!+#REF!+#REF!+#REF!+#REF!+#REF!+#REF!+маркин!E49+#REF!+#REF!</f>
        <v>#REF!</v>
      </c>
      <c r="G52" s="110">
        <v>7</v>
      </c>
      <c r="H52" s="128">
        <f t="shared" si="6"/>
        <v>7.3500000000000005</v>
      </c>
      <c r="I52" s="28"/>
      <c r="J52" s="28"/>
      <c r="K52" s="31" t="e">
        <f>#REF!+#REF!+#REF!+#REF!+#REF!+#REF!+маркин!E49+#REF!</f>
        <v>#REF!</v>
      </c>
      <c r="L52" s="31" t="e">
        <f>#REF!+#REF!</f>
        <v>#REF!</v>
      </c>
      <c r="M52" s="103" t="e">
        <f t="shared" si="4"/>
        <v>#REF!</v>
      </c>
      <c r="N52" s="61" t="e">
        <f t="shared" si="5"/>
        <v>#REF!</v>
      </c>
    </row>
    <row r="53" spans="2:14" ht="12.75">
      <c r="B53" t="s">
        <v>131</v>
      </c>
      <c r="F53" s="124" t="e">
        <f>#REF!+#REF!+#REF!+#REF!+#REF!+#REF!+#REF!+маркин!E50+#REF!+#REF!</f>
        <v>#REF!</v>
      </c>
      <c r="G53" s="110">
        <v>43</v>
      </c>
      <c r="H53" s="128">
        <f t="shared" si="6"/>
        <v>45.15</v>
      </c>
      <c r="I53" s="28"/>
      <c r="J53" s="28"/>
      <c r="K53" s="31" t="e">
        <f>#REF!+#REF!+#REF!+#REF!+#REF!+#REF!+маркин!E50+#REF!</f>
        <v>#REF!</v>
      </c>
      <c r="L53" s="31" t="e">
        <f>#REF!+#REF!</f>
        <v>#REF!</v>
      </c>
      <c r="M53" s="103" t="e">
        <f t="shared" si="4"/>
        <v>#REF!</v>
      </c>
      <c r="N53" s="61" t="e">
        <f t="shared" si="5"/>
        <v>#REF!</v>
      </c>
    </row>
    <row r="54" spans="2:14" ht="12.75">
      <c r="B54" t="s">
        <v>26</v>
      </c>
      <c r="F54" s="124" t="e">
        <f>#REF!+#REF!+#REF!+#REF!+#REF!+#REF!+#REF!+маркин!E51+#REF!+#REF!</f>
        <v>#REF!</v>
      </c>
      <c r="G54" s="110">
        <v>144</v>
      </c>
      <c r="H54" s="128">
        <f t="shared" si="6"/>
        <v>151.20000000000002</v>
      </c>
      <c r="I54" s="28"/>
      <c r="J54" s="28"/>
      <c r="K54" s="31" t="e">
        <f>#REF!+#REF!+#REF!+#REF!+#REF!+#REF!+маркин!E51+#REF!</f>
        <v>#REF!</v>
      </c>
      <c r="L54" s="31" t="e">
        <f>#REF!+#REF!</f>
        <v>#REF!</v>
      </c>
      <c r="M54" s="103" t="e">
        <f t="shared" si="4"/>
        <v>#REF!</v>
      </c>
      <c r="N54" s="61" t="e">
        <f t="shared" si="5"/>
        <v>#REF!</v>
      </c>
    </row>
    <row r="55" spans="2:14" ht="12.75">
      <c r="B55" t="s">
        <v>27</v>
      </c>
      <c r="F55" s="124" t="e">
        <f>#REF!+#REF!+#REF!+#REF!+#REF!+#REF!+#REF!+#REF!+#REF!+маркин!E52+#REF!+#REF!+#REF!+#REF!+#REF!+#REF!</f>
        <v>#REF!</v>
      </c>
      <c r="G55" s="110">
        <v>139.7</v>
      </c>
      <c r="H55" s="128">
        <f t="shared" si="6"/>
        <v>146.685</v>
      </c>
      <c r="I55" s="28"/>
      <c r="J55" s="28"/>
      <c r="K55" s="31" t="e">
        <f>#REF!+#REF!+#REF!+#REF!+#REF!+#REF!+#REF!+#REF!+#REF!+маркин!E52+#REF!</f>
        <v>#REF!</v>
      </c>
      <c r="L55" s="31" t="e">
        <f>#REF!+#REF!+#REF!+#REF!+#REF!</f>
        <v>#REF!</v>
      </c>
      <c r="M55" s="103" t="e">
        <f t="shared" si="4"/>
        <v>#REF!</v>
      </c>
      <c r="N55" s="61" t="e">
        <f t="shared" si="5"/>
        <v>#REF!</v>
      </c>
    </row>
    <row r="56" spans="2:14" ht="12.75">
      <c r="B56" t="s">
        <v>28</v>
      </c>
      <c r="F56" s="124" t="e">
        <f>#REF!+#REF!+#REF!+#REF!+#REF!+#REF!+#REF!+#REF!+#REF!+маркин!E53+#REF!+#REF!+#REF!+#REF!+#REF!+#REF!</f>
        <v>#REF!</v>
      </c>
      <c r="G56" s="110">
        <v>31.1</v>
      </c>
      <c r="H56" s="128">
        <f t="shared" si="6"/>
        <v>32.655</v>
      </c>
      <c r="I56" s="28"/>
      <c r="J56" s="28"/>
      <c r="K56" s="31" t="e">
        <f>#REF!+#REF!+#REF!+#REF!+#REF!+#REF!+#REF!+#REF!+#REF!+маркин!E53+#REF!</f>
        <v>#REF!</v>
      </c>
      <c r="L56" s="31" t="e">
        <f>#REF!+#REF!+#REF!+#REF!+#REF!</f>
        <v>#REF!</v>
      </c>
      <c r="M56" s="103" t="e">
        <f t="shared" si="4"/>
        <v>#REF!</v>
      </c>
      <c r="N56" s="61" t="e">
        <f t="shared" si="5"/>
        <v>#REF!</v>
      </c>
    </row>
    <row r="57" spans="2:14" ht="12.75">
      <c r="B57" t="s">
        <v>29</v>
      </c>
      <c r="F57" s="124" t="e">
        <f>#REF!+#REF!+#REF!+#REF!+#REF!+#REF!+#REF!+#REF!+#REF!+маркин!E54+#REF!+#REF!+#REF!+#REF!+#REF!+#REF!</f>
        <v>#REF!</v>
      </c>
      <c r="G57" s="110">
        <v>19.2</v>
      </c>
      <c r="H57" s="128">
        <f t="shared" si="6"/>
        <v>20.16</v>
      </c>
      <c r="I57" s="28"/>
      <c r="J57" s="28"/>
      <c r="K57" s="31" t="e">
        <f>#REF!+#REF!+#REF!+#REF!+#REF!+#REF!+#REF!+#REF!+#REF!+маркин!E54+#REF!</f>
        <v>#REF!</v>
      </c>
      <c r="L57" s="31" t="e">
        <f>#REF!+#REF!+#REF!+#REF!+#REF!</f>
        <v>#REF!</v>
      </c>
      <c r="M57" s="103" t="e">
        <f t="shared" si="4"/>
        <v>#REF!</v>
      </c>
      <c r="N57" s="61" t="e">
        <f t="shared" si="5"/>
        <v>#REF!</v>
      </c>
    </row>
    <row r="58" spans="2:14" ht="12.75">
      <c r="B58" t="s">
        <v>75</v>
      </c>
      <c r="F58" s="124" t="e">
        <f>#REF!+#REF!+#REF!+#REF!+#REF!+#REF!+#REF!+#REF!+#REF!+маркин!E55+#REF!+#REF!+#REF!+#REF!+#REF!+#REF!</f>
        <v>#REF!</v>
      </c>
      <c r="G58" s="110">
        <v>28.1</v>
      </c>
      <c r="H58" s="128">
        <f t="shared" si="6"/>
        <v>29.505000000000003</v>
      </c>
      <c r="I58" s="28"/>
      <c r="J58" s="28"/>
      <c r="K58" s="31" t="e">
        <f>#REF!+#REF!+#REF!+#REF!+#REF!+#REF!+#REF!+#REF!+#REF!+маркин!E55+#REF!</f>
        <v>#REF!</v>
      </c>
      <c r="L58" s="31" t="e">
        <f>#REF!+#REF!+#REF!+#REF!+#REF!</f>
        <v>#REF!</v>
      </c>
      <c r="M58" s="103" t="e">
        <f t="shared" si="4"/>
        <v>#REF!</v>
      </c>
      <c r="N58" s="61" t="e">
        <f t="shared" si="5"/>
        <v>#REF!</v>
      </c>
    </row>
    <row r="59" spans="2:14" ht="12.75">
      <c r="B59" t="s">
        <v>30</v>
      </c>
      <c r="F59" s="124" t="e">
        <f>#REF!+#REF!+#REF!+#REF!+#REF!+#REF!+#REF!+#REF!+#REF!+маркин!E56+#REF!+#REF!</f>
        <v>#REF!</v>
      </c>
      <c r="G59" s="110">
        <v>56.4</v>
      </c>
      <c r="H59" s="128">
        <f t="shared" si="6"/>
        <v>59.22</v>
      </c>
      <c r="I59" s="28"/>
      <c r="J59" s="28"/>
      <c r="K59" s="31" t="e">
        <f>#REF!+#REF!+#REF!+#REF!+#REF!+#REF!+#REF!+маркин!E56+#REF!+#REF!</f>
        <v>#REF!</v>
      </c>
      <c r="L59" s="31" t="e">
        <f>#REF!+#REF!</f>
        <v>#REF!</v>
      </c>
      <c r="M59" s="103" t="e">
        <f t="shared" si="4"/>
        <v>#REF!</v>
      </c>
      <c r="N59" s="61" t="e">
        <f t="shared" si="5"/>
        <v>#REF!</v>
      </c>
    </row>
    <row r="60" spans="2:14" ht="12.75">
      <c r="B60" t="s">
        <v>31</v>
      </c>
      <c r="F60" s="124" t="e">
        <f>#REF!+#REF!+#REF!+#REF!+#REF!+#REF!+#REF!+#REF!+#REF!+маркин!E57+#REF!+#REF!+#REF!+#REF!+#REF!+#REF!</f>
        <v>#REF!</v>
      </c>
      <c r="G60" s="110">
        <v>140</v>
      </c>
      <c r="H60" s="128">
        <f t="shared" si="6"/>
        <v>147</v>
      </c>
      <c r="I60" s="28"/>
      <c r="J60" s="28"/>
      <c r="K60" s="31" t="e">
        <f>#REF!+#REF!+#REF!+#REF!+#REF!+#REF!+#REF!+#REF!+#REF!+маркин!E57+#REF!</f>
        <v>#REF!</v>
      </c>
      <c r="L60" s="31" t="e">
        <f>#REF!+#REF!+#REF!+#REF!+#REF!</f>
        <v>#REF!</v>
      </c>
      <c r="M60" s="103" t="e">
        <f t="shared" si="4"/>
        <v>#REF!</v>
      </c>
      <c r="N60" s="61" t="e">
        <f t="shared" si="5"/>
        <v>#REF!</v>
      </c>
    </row>
    <row r="61" spans="2:14" ht="12.75">
      <c r="B61" t="s">
        <v>256</v>
      </c>
      <c r="F61" s="124"/>
      <c r="G61" s="187">
        <v>89.9</v>
      </c>
      <c r="H61" s="128">
        <f t="shared" si="6"/>
        <v>94.39500000000001</v>
      </c>
      <c r="I61" s="28"/>
      <c r="J61" s="28"/>
      <c r="K61" s="31"/>
      <c r="L61" s="31"/>
      <c r="M61" s="103"/>
      <c r="N61" s="61"/>
    </row>
    <row r="62" spans="2:14" ht="12.75">
      <c r="B62" t="s">
        <v>82</v>
      </c>
      <c r="F62" s="124" t="e">
        <f>#REF!</f>
        <v>#REF!</v>
      </c>
      <c r="G62" s="187">
        <v>85</v>
      </c>
      <c r="H62" s="128">
        <f t="shared" si="6"/>
        <v>89.25</v>
      </c>
      <c r="I62" s="28"/>
      <c r="J62" s="28"/>
      <c r="K62" s="31" t="e">
        <f>#REF!</f>
        <v>#REF!</v>
      </c>
      <c r="L62" s="31"/>
      <c r="M62" s="103" t="e">
        <f t="shared" si="4"/>
        <v>#REF!</v>
      </c>
      <c r="N62" s="61" t="e">
        <f t="shared" si="5"/>
        <v>#REF!</v>
      </c>
    </row>
    <row r="63" spans="2:14" ht="12.75">
      <c r="B63" t="s">
        <v>257</v>
      </c>
      <c r="D63" s="10"/>
      <c r="F63" s="124" t="e">
        <f>#REF!+#REF!+#REF!+#REF!+#REF!+#REF!</f>
        <v>#REF!</v>
      </c>
      <c r="G63" s="110">
        <v>184</v>
      </c>
      <c r="H63" s="128">
        <f t="shared" si="6"/>
        <v>193.20000000000002</v>
      </c>
      <c r="I63" s="28"/>
      <c r="J63" s="28"/>
      <c r="K63" s="31" t="e">
        <f>#REF!+#REF!+#REF!+#REF!+#REF!+#REF!</f>
        <v>#REF!</v>
      </c>
      <c r="L63" s="31"/>
      <c r="M63" s="103" t="e">
        <f t="shared" si="4"/>
        <v>#REF!</v>
      </c>
      <c r="N63" s="61" t="e">
        <f t="shared" si="5"/>
        <v>#REF!</v>
      </c>
    </row>
    <row r="64" spans="2:14" ht="12.75">
      <c r="B64" t="s">
        <v>32</v>
      </c>
      <c r="D64" s="10"/>
      <c r="F64" s="124" t="e">
        <f>#REF!+#REF!+#REF!+#REF!+#REF!+#REF!+#REF!+#REF!+#REF!+маркин!E58+#REF!+#REF!+#REF!+#REF!+#REF!+#REF!</f>
        <v>#REF!</v>
      </c>
      <c r="G64" s="110">
        <v>142</v>
      </c>
      <c r="H64" s="128">
        <f t="shared" si="6"/>
        <v>149.1</v>
      </c>
      <c r="I64" s="28"/>
      <c r="J64" s="28"/>
      <c r="K64" s="31" t="e">
        <f>#REF!+#REF!+#REF!+#REF!+#REF!+#REF!+#REF!+#REF!+#REF!+маркин!E58+#REF!</f>
        <v>#REF!</v>
      </c>
      <c r="L64" s="31" t="e">
        <f>#REF!+#REF!+#REF!+#REF!+#REF!</f>
        <v>#REF!</v>
      </c>
      <c r="M64" s="103" t="e">
        <f t="shared" si="4"/>
        <v>#REF!</v>
      </c>
      <c r="N64" s="61" t="e">
        <f t="shared" si="5"/>
        <v>#REF!</v>
      </c>
    </row>
    <row r="65" spans="2:14" ht="12.75">
      <c r="B65" s="234" t="s">
        <v>273</v>
      </c>
      <c r="C65" s="234"/>
      <c r="D65" s="234"/>
      <c r="F65" s="124"/>
      <c r="G65" s="211">
        <v>50</v>
      </c>
      <c r="H65" s="128">
        <f t="shared" si="6"/>
        <v>52.5</v>
      </c>
      <c r="I65" s="28"/>
      <c r="J65" s="28"/>
      <c r="K65" s="31" t="e">
        <f>#REF!+#REF!+#REF!+#REF!+#REF!+маркин!#REF!</f>
        <v>#REF!</v>
      </c>
      <c r="L65" s="31"/>
      <c r="M65" s="103" t="e">
        <f aca="true" t="shared" si="7" ref="M65:M90">K65+L65</f>
        <v>#REF!</v>
      </c>
      <c r="N65" s="61" t="e">
        <f t="shared" si="5"/>
        <v>#REF!</v>
      </c>
    </row>
    <row r="66" spans="2:14" ht="15" customHeight="1">
      <c r="B66" s="235" t="s">
        <v>288</v>
      </c>
      <c r="C66" s="235"/>
      <c r="D66" s="235"/>
      <c r="F66" s="124"/>
      <c r="G66" s="211">
        <v>12</v>
      </c>
      <c r="H66" s="128">
        <f t="shared" si="6"/>
        <v>12.600000000000001</v>
      </c>
      <c r="I66" s="28"/>
      <c r="J66" s="28"/>
      <c r="K66" s="31"/>
      <c r="L66" s="31"/>
      <c r="M66" s="103"/>
      <c r="N66" s="61"/>
    </row>
    <row r="67" spans="2:15" ht="12.75">
      <c r="B67" t="s">
        <v>33</v>
      </c>
      <c r="D67" s="10"/>
      <c r="F67" s="124" t="e">
        <f>#REF!+#REF!+#REF!+#REF!+#REF!+#REF!+#REF!+#REF!+#REF!+маркин!E60+#REF!+#REF!+#REF!+#REF!+#REF!+#REF!</f>
        <v>#REF!</v>
      </c>
      <c r="G67" s="110">
        <v>61.8</v>
      </c>
      <c r="H67" s="128">
        <f t="shared" si="6"/>
        <v>64.89</v>
      </c>
      <c r="I67" s="28"/>
      <c r="J67" s="28"/>
      <c r="K67" s="31" t="e">
        <f>#REF!+#REF!+#REF!+#REF!+#REF!+#REF!+#REF!+#REF!+#REF!+маркин!E60+#REF!</f>
        <v>#REF!</v>
      </c>
      <c r="L67" s="31" t="e">
        <f>#REF!+#REF!+#REF!+#REF!+#REF!</f>
        <v>#REF!</v>
      </c>
      <c r="M67" s="103" t="e">
        <f t="shared" si="7"/>
        <v>#REF!</v>
      </c>
      <c r="N67" s="61" t="e">
        <f t="shared" si="5"/>
        <v>#REF!</v>
      </c>
      <c r="O67" s="61" t="e">
        <f>F49+F50+F51+F55+F65</f>
        <v>#REF!</v>
      </c>
    </row>
    <row r="68" spans="2:14" ht="12.75">
      <c r="B68" t="s">
        <v>251</v>
      </c>
      <c r="D68" s="10"/>
      <c r="F68" s="127">
        <f>маркин!E61</f>
        <v>87</v>
      </c>
      <c r="G68" s="187">
        <v>87</v>
      </c>
      <c r="H68" s="128">
        <f t="shared" si="6"/>
        <v>91.35000000000001</v>
      </c>
      <c r="I68" s="28"/>
      <c r="J68" s="28"/>
      <c r="K68" s="31">
        <f>маркин!E61</f>
        <v>87</v>
      </c>
      <c r="L68" s="31"/>
      <c r="M68" s="103">
        <f t="shared" si="7"/>
        <v>87</v>
      </c>
      <c r="N68" s="61">
        <f t="shared" si="5"/>
        <v>0</v>
      </c>
    </row>
    <row r="69" spans="2:14" ht="12.75">
      <c r="B69" t="s">
        <v>253</v>
      </c>
      <c r="D69" s="10"/>
      <c r="F69" s="127" t="e">
        <f>#REF!</f>
        <v>#REF!</v>
      </c>
      <c r="G69" s="187">
        <v>32</v>
      </c>
      <c r="H69" s="128">
        <f t="shared" si="6"/>
        <v>33.6</v>
      </c>
      <c r="I69" s="28"/>
      <c r="J69" s="28"/>
      <c r="K69" s="31" t="e">
        <f>#REF!</f>
        <v>#REF!</v>
      </c>
      <c r="L69" s="31"/>
      <c r="M69" s="103" t="e">
        <f t="shared" si="7"/>
        <v>#REF!</v>
      </c>
      <c r="N69" s="61" t="e">
        <f t="shared" si="5"/>
        <v>#REF!</v>
      </c>
    </row>
    <row r="70" spans="2:14" ht="14.25" customHeight="1">
      <c r="B70" s="228" t="s">
        <v>179</v>
      </c>
      <c r="C70" s="228"/>
      <c r="D70" s="228"/>
      <c r="F70" s="127" t="e">
        <f>#REF!</f>
        <v>#REF!</v>
      </c>
      <c r="G70" s="110">
        <v>20</v>
      </c>
      <c r="H70" s="128">
        <f t="shared" si="6"/>
        <v>21</v>
      </c>
      <c r="I70" s="28"/>
      <c r="J70" s="28"/>
      <c r="K70" s="31" t="e">
        <f>#REF!</f>
        <v>#REF!</v>
      </c>
      <c r="L70" s="31"/>
      <c r="M70" s="103" t="e">
        <f t="shared" si="7"/>
        <v>#REF!</v>
      </c>
      <c r="N70" s="61" t="e">
        <f t="shared" si="5"/>
        <v>#REF!</v>
      </c>
    </row>
    <row r="71" spans="2:14" ht="11.25" customHeight="1">
      <c r="B71" s="228" t="s">
        <v>181</v>
      </c>
      <c r="C71" s="228"/>
      <c r="D71" s="93"/>
      <c r="F71" s="127" t="e">
        <f>#REF!+#REF!+#REF!+#REF!+#REF!+#REF!+#REF!+маркин!#REF!+#REF!+#REF!+#REF!+#REF!+#REF!+#REF!</f>
        <v>#REF!</v>
      </c>
      <c r="G71" s="111"/>
      <c r="H71" s="128">
        <f t="shared" si="6"/>
        <v>0</v>
      </c>
      <c r="I71" s="28"/>
      <c r="J71" s="28"/>
      <c r="K71" s="31" t="e">
        <f>#REF!+#REF!+#REF!+#REF!+#REF!+#REF!+#REF!+маркин!#REF!+#REF!+#REF!</f>
        <v>#REF!</v>
      </c>
      <c r="L71" s="31" t="e">
        <f>#REF!+#REF!+#REF!+#REF!+#REF!</f>
        <v>#REF!</v>
      </c>
      <c r="M71" s="103" t="e">
        <f t="shared" si="7"/>
        <v>#REF!</v>
      </c>
      <c r="N71" s="61" t="e">
        <f t="shared" si="5"/>
        <v>#REF!</v>
      </c>
    </row>
    <row r="72" spans="2:14" ht="22.5" customHeight="1">
      <c r="B72" s="228" t="s">
        <v>254</v>
      </c>
      <c r="C72" s="228"/>
      <c r="D72" s="228"/>
      <c r="F72" s="127" t="e">
        <f>маркин!#REF!</f>
        <v>#REF!</v>
      </c>
      <c r="G72" s="187">
        <v>25.3</v>
      </c>
      <c r="H72" s="128">
        <f t="shared" si="6"/>
        <v>26.565</v>
      </c>
      <c r="I72" s="28"/>
      <c r="J72" s="28"/>
      <c r="K72" s="31" t="e">
        <f>маркин!#REF!</f>
        <v>#REF!</v>
      </c>
      <c r="L72" s="31"/>
      <c r="M72" s="103" t="e">
        <f t="shared" si="7"/>
        <v>#REF!</v>
      </c>
      <c r="N72" s="61" t="e">
        <f t="shared" si="5"/>
        <v>#REF!</v>
      </c>
    </row>
    <row r="73" spans="2:14" ht="16.5" customHeight="1">
      <c r="B73" s="228" t="s">
        <v>234</v>
      </c>
      <c r="C73" s="228"/>
      <c r="D73" s="228"/>
      <c r="E73" s="229"/>
      <c r="F73" s="127"/>
      <c r="G73" s="187">
        <v>160</v>
      </c>
      <c r="H73" s="128">
        <v>160</v>
      </c>
      <c r="I73" s="28"/>
      <c r="J73" s="28"/>
      <c r="K73" s="31"/>
      <c r="L73" s="31"/>
      <c r="M73" s="103"/>
      <c r="N73" s="61"/>
    </row>
    <row r="74" spans="2:14" ht="14.25" customHeight="1">
      <c r="B74" s="228" t="s">
        <v>185</v>
      </c>
      <c r="C74" s="228"/>
      <c r="D74" s="228"/>
      <c r="F74" s="127" t="e">
        <f>#REF!</f>
        <v>#REF!</v>
      </c>
      <c r="G74" s="111"/>
      <c r="H74" s="128">
        <f t="shared" si="6"/>
        <v>0</v>
      </c>
      <c r="I74" s="28"/>
      <c r="J74" s="28"/>
      <c r="K74" s="31"/>
      <c r="L74" s="31" t="e">
        <f>#REF!</f>
        <v>#REF!</v>
      </c>
      <c r="M74" s="103" t="e">
        <f t="shared" si="7"/>
        <v>#REF!</v>
      </c>
      <c r="N74" s="61" t="e">
        <f t="shared" si="5"/>
        <v>#REF!</v>
      </c>
    </row>
    <row r="75" spans="2:14" ht="14.25" customHeight="1">
      <c r="B75" s="228" t="s">
        <v>187</v>
      </c>
      <c r="C75" s="228"/>
      <c r="D75" s="228"/>
      <c r="F75" s="127" t="e">
        <f>#REF!</f>
        <v>#REF!</v>
      </c>
      <c r="G75" s="111"/>
      <c r="H75" s="128">
        <f t="shared" si="6"/>
        <v>0</v>
      </c>
      <c r="I75" s="28"/>
      <c r="J75" s="28"/>
      <c r="K75" s="31" t="e">
        <f>#REF!</f>
        <v>#REF!</v>
      </c>
      <c r="L75" s="31"/>
      <c r="M75" s="103" t="e">
        <f t="shared" si="7"/>
        <v>#REF!</v>
      </c>
      <c r="N75" s="61" t="e">
        <f t="shared" si="5"/>
        <v>#REF!</v>
      </c>
    </row>
    <row r="76" spans="2:14" ht="14.25" customHeight="1">
      <c r="B76" s="228" t="s">
        <v>189</v>
      </c>
      <c r="C76" s="228"/>
      <c r="D76" s="93"/>
      <c r="F76" s="127" t="e">
        <f>маркин!#REF!</f>
        <v>#REF!</v>
      </c>
      <c r="G76" s="111"/>
      <c r="H76" s="128">
        <f t="shared" si="6"/>
        <v>0</v>
      </c>
      <c r="I76" s="28"/>
      <c r="J76" s="28"/>
      <c r="K76" s="31" t="e">
        <f>маркин!#REF!</f>
        <v>#REF!</v>
      </c>
      <c r="L76" s="31"/>
      <c r="M76" s="103" t="e">
        <f t="shared" si="7"/>
        <v>#REF!</v>
      </c>
      <c r="N76" s="61" t="e">
        <f t="shared" si="5"/>
        <v>#REF!</v>
      </c>
    </row>
    <row r="77" spans="2:14" ht="14.25" customHeight="1">
      <c r="B77" s="228" t="s">
        <v>193</v>
      </c>
      <c r="C77" s="228"/>
      <c r="D77" s="228"/>
      <c r="F77" s="127" t="e">
        <f>#REF!+#REF!+#REF!+#REF!+#REF!+#REF!+маркин!#REF!+#REF!+#REF!+#REF!+#REF!+#REF!+#REF!+#REF!</f>
        <v>#REF!</v>
      </c>
      <c r="G77" s="111"/>
      <c r="H77" s="128">
        <f t="shared" si="6"/>
        <v>0</v>
      </c>
      <c r="I77" s="28"/>
      <c r="J77" s="28"/>
      <c r="K77" s="31" t="e">
        <f>#REF!+#REF!+#REF!+#REF!+#REF!+#REF!+#REF!+#REF!+маркин!#REF!+#REF!</f>
        <v>#REF!</v>
      </c>
      <c r="L77" s="31" t="e">
        <f>#REF!+#REF!+#REF!+#REF!</f>
        <v>#REF!</v>
      </c>
      <c r="M77" s="103" t="e">
        <f t="shared" si="7"/>
        <v>#REF!</v>
      </c>
      <c r="N77" s="61" t="e">
        <f t="shared" si="5"/>
        <v>#REF!</v>
      </c>
    </row>
    <row r="78" spans="2:14" ht="14.25" customHeight="1">
      <c r="B78" s="228" t="s">
        <v>194</v>
      </c>
      <c r="C78" s="228"/>
      <c r="D78" s="228"/>
      <c r="F78" s="127" t="e">
        <f>#REF!+#REF!+#REF!+#REF!+#REF!+#REF!+#REF!</f>
        <v>#REF!</v>
      </c>
      <c r="G78" s="110">
        <v>14.8</v>
      </c>
      <c r="H78" s="128">
        <f t="shared" si="6"/>
        <v>15.540000000000001</v>
      </c>
      <c r="I78" s="28"/>
      <c r="J78" s="28"/>
      <c r="K78" s="31" t="e">
        <f>#REF!+#REF!+#REF!+#REF!+#REF!+#REF!</f>
        <v>#REF!</v>
      </c>
      <c r="L78" s="31" t="e">
        <f>#REF!</f>
        <v>#REF!</v>
      </c>
      <c r="M78" s="103" t="e">
        <f t="shared" si="7"/>
        <v>#REF!</v>
      </c>
      <c r="N78" s="61" t="e">
        <f t="shared" si="5"/>
        <v>#REF!</v>
      </c>
    </row>
    <row r="79" spans="2:14" ht="14.25" customHeight="1">
      <c r="B79" s="230" t="s">
        <v>188</v>
      </c>
      <c r="C79" s="230"/>
      <c r="D79" s="93"/>
      <c r="F79" s="127" t="e">
        <f>#REF!</f>
        <v>#REF!</v>
      </c>
      <c r="G79" s="110">
        <v>29.4</v>
      </c>
      <c r="H79" s="128">
        <f t="shared" si="6"/>
        <v>30.87</v>
      </c>
      <c r="I79" s="28"/>
      <c r="J79" s="28"/>
      <c r="K79" s="31"/>
      <c r="L79" s="31" t="e">
        <f>#REF!</f>
        <v>#REF!</v>
      </c>
      <c r="M79" s="103" t="e">
        <f t="shared" si="7"/>
        <v>#REF!</v>
      </c>
      <c r="N79" s="61" t="e">
        <f t="shared" si="5"/>
        <v>#REF!</v>
      </c>
    </row>
    <row r="80" spans="2:14" ht="14.25" customHeight="1">
      <c r="B80" s="230" t="s">
        <v>223</v>
      </c>
      <c r="C80" s="230"/>
      <c r="D80" s="93"/>
      <c r="F80" s="127" t="e">
        <f>#REF!</f>
        <v>#REF!</v>
      </c>
      <c r="G80" s="111"/>
      <c r="H80" s="128">
        <f t="shared" si="6"/>
        <v>0</v>
      </c>
      <c r="I80" s="28"/>
      <c r="J80" s="28"/>
      <c r="K80" s="31" t="e">
        <f>#REF!</f>
        <v>#REF!</v>
      </c>
      <c r="L80" s="31"/>
      <c r="M80" s="103" t="e">
        <f t="shared" si="7"/>
        <v>#REF!</v>
      </c>
      <c r="N80" s="61" t="e">
        <f t="shared" si="5"/>
        <v>#REF!</v>
      </c>
    </row>
    <row r="81" spans="2:14" ht="14.25" customHeight="1">
      <c r="B81" s="12" t="s">
        <v>230</v>
      </c>
      <c r="C81" s="12"/>
      <c r="D81" s="93"/>
      <c r="F81" s="127"/>
      <c r="G81" s="110">
        <v>935.8</v>
      </c>
      <c r="H81" s="128">
        <f>G81</f>
        <v>935.8</v>
      </c>
      <c r="I81" s="28"/>
      <c r="J81" s="28"/>
      <c r="K81" s="31"/>
      <c r="L81" s="31"/>
      <c r="M81" s="103"/>
      <c r="N81" s="61"/>
    </row>
    <row r="82" spans="2:14" ht="14.25" customHeight="1">
      <c r="B82" s="12" t="s">
        <v>229</v>
      </c>
      <c r="C82" s="12"/>
      <c r="D82" s="93"/>
      <c r="F82" s="127"/>
      <c r="G82" s="110">
        <v>371.2</v>
      </c>
      <c r="H82" s="128">
        <f>G82</f>
        <v>371.2</v>
      </c>
      <c r="I82" s="28"/>
      <c r="J82" s="28"/>
      <c r="K82" s="31"/>
      <c r="L82" s="31"/>
      <c r="M82" s="103"/>
      <c r="N82" s="61"/>
    </row>
    <row r="83" spans="2:14" ht="16.5" customHeight="1">
      <c r="B83" s="4" t="s">
        <v>34</v>
      </c>
      <c r="C83" s="4"/>
      <c r="E83" s="4"/>
      <c r="F83" s="196" t="e">
        <f>SUM(F84:F89)</f>
        <v>#REF!</v>
      </c>
      <c r="G83" s="196">
        <f>SUM(G84:G89)</f>
        <v>2380.8999999999996</v>
      </c>
      <c r="H83" s="196">
        <f>SUM(H84:H89)</f>
        <v>2380.8999999999996</v>
      </c>
      <c r="I83" s="196">
        <f>SUM(I84:I89)</f>
        <v>0</v>
      </c>
      <c r="J83" s="28"/>
      <c r="K83" s="103" t="e">
        <f>K84+K85+K86+K87+K88+K89</f>
        <v>#REF!</v>
      </c>
      <c r="L83" s="103" t="e">
        <f>L84+L85+L86+L87+L88+L89</f>
        <v>#REF!</v>
      </c>
      <c r="M83" s="103" t="e">
        <f t="shared" si="7"/>
        <v>#REF!</v>
      </c>
      <c r="N83" s="61" t="e">
        <f aca="true" t="shared" si="8" ref="N83:N92">F83-M83</f>
        <v>#REF!</v>
      </c>
    </row>
    <row r="84" spans="2:14" ht="12.75">
      <c r="B84" t="s">
        <v>35</v>
      </c>
      <c r="F84" s="126" t="e">
        <f>#REF!+#REF!+#REF!+#REF!+#REF!+#REF!+#REF!+#REF!+#REF!+маркин!D64+#REF!+#REF!</f>
        <v>#REF!</v>
      </c>
      <c r="G84" s="110">
        <v>55.6</v>
      </c>
      <c r="H84" s="31">
        <f>G84</f>
        <v>55.6</v>
      </c>
      <c r="I84" s="28"/>
      <c r="J84" s="28"/>
      <c r="K84" s="31" t="e">
        <f>#REF!+#REF!+#REF!+#REF!+#REF!+#REF!+#REF!+#REF!+маркин!D64+#REF!</f>
        <v>#REF!</v>
      </c>
      <c r="L84" s="31" t="e">
        <f>#REF!+#REF!</f>
        <v>#REF!</v>
      </c>
      <c r="M84" s="31" t="e">
        <f t="shared" si="7"/>
        <v>#REF!</v>
      </c>
      <c r="N84" s="61" t="e">
        <f t="shared" si="8"/>
        <v>#REF!</v>
      </c>
    </row>
    <row r="85" spans="2:14" ht="12.75">
      <c r="B85" t="s">
        <v>36</v>
      </c>
      <c r="F85" s="126" t="e">
        <f>#REF!+#REF!+#REF!+#REF!+#REF!+#REF!+#REF!+#REF!+#REF!+маркин!D65+#REF!+#REF!</f>
        <v>#REF!</v>
      </c>
      <c r="G85" s="110">
        <v>22</v>
      </c>
      <c r="H85" s="31">
        <f>G85</f>
        <v>22</v>
      </c>
      <c r="I85" s="28"/>
      <c r="J85" s="28"/>
      <c r="K85" s="31" t="e">
        <f>#REF!+#REF!+#REF!+#REF!+#REF!+#REF!+#REF!+#REF!+маркин!D65+#REF!</f>
        <v>#REF!</v>
      </c>
      <c r="L85" s="31" t="e">
        <f>#REF!+#REF!</f>
        <v>#REF!</v>
      </c>
      <c r="M85" s="31" t="e">
        <f t="shared" si="7"/>
        <v>#REF!</v>
      </c>
      <c r="N85" s="61" t="e">
        <f t="shared" si="8"/>
        <v>#REF!</v>
      </c>
    </row>
    <row r="86" spans="2:14" ht="12.75">
      <c r="B86" t="s">
        <v>46</v>
      </c>
      <c r="F86" s="126" t="e">
        <f>#REF!+#REF!+#REF!+#REF!+#REF!+#REF!+#REF!+#REF!+#REF!+маркин!D66+#REF!+#REF!+#REF!+#REF!+#REF!+#REF!</f>
        <v>#REF!</v>
      </c>
      <c r="G86" s="110">
        <v>1131.1</v>
      </c>
      <c r="H86" s="31">
        <f>G86</f>
        <v>1131.1</v>
      </c>
      <c r="I86" s="28"/>
      <c r="J86" s="28"/>
      <c r="K86" s="31" t="e">
        <f>#REF!+#REF!+#REF!+#REF!+#REF!+#REF!+#REF!+#REF!+#REF!+маркин!D66+#REF!</f>
        <v>#REF!</v>
      </c>
      <c r="L86" s="31" t="e">
        <f>#REF!+#REF!+#REF!+#REF!+#REF!</f>
        <v>#REF!</v>
      </c>
      <c r="M86" s="31" t="e">
        <f t="shared" si="7"/>
        <v>#REF!</v>
      </c>
      <c r="N86" s="61" t="e">
        <f t="shared" si="8"/>
        <v>#REF!</v>
      </c>
    </row>
    <row r="87" spans="2:14" ht="12.75">
      <c r="B87" t="s">
        <v>47</v>
      </c>
      <c r="F87" s="126" t="e">
        <f>#REF!+#REF!+#REF!+#REF!+#REF!+#REF!+#REF!+#REF!+#REF!+маркин!D67+#REF!+#REF!+#REF!+#REF!+#REF!+#REF!</f>
        <v>#REF!</v>
      </c>
      <c r="G87" s="110">
        <v>1141.2</v>
      </c>
      <c r="H87" s="31">
        <f>G87</f>
        <v>1141.2</v>
      </c>
      <c r="I87" s="28"/>
      <c r="J87" s="28"/>
      <c r="K87" s="31" t="e">
        <f>#REF!+#REF!+#REF!+#REF!+#REF!+#REF!+#REF!+#REF!+#REF!+маркин!D67+#REF!</f>
        <v>#REF!</v>
      </c>
      <c r="L87" s="31" t="e">
        <f>#REF!+#REF!+#REF!+#REF!+#REF!</f>
        <v>#REF!</v>
      </c>
      <c r="M87" s="31" t="e">
        <f t="shared" si="7"/>
        <v>#REF!</v>
      </c>
      <c r="N87" s="61" t="e">
        <f t="shared" si="8"/>
        <v>#REF!</v>
      </c>
    </row>
    <row r="88" spans="2:14" ht="25.5" customHeight="1">
      <c r="B88" s="228" t="s">
        <v>110</v>
      </c>
      <c r="C88" s="228"/>
      <c r="F88" s="126" t="e">
        <f>#REF!+#REF!+#REF!+#REF!+#REF!+#REF!+#REF!+#REF!+#REF!+маркин!D68+#REF!+#REF!+#REF!+#REF!+#REF!+#REF!</f>
        <v>#REF!</v>
      </c>
      <c r="G88" s="110">
        <v>31</v>
      </c>
      <c r="H88" s="31">
        <f>G88</f>
        <v>31</v>
      </c>
      <c r="I88" s="28"/>
      <c r="J88" s="28"/>
      <c r="K88" s="31" t="e">
        <f>#REF!+#REF!+#REF!+#REF!+#REF!+#REF!+#REF!+#REF!+#REF!+маркин!D68+#REF!</f>
        <v>#REF!</v>
      </c>
      <c r="L88" s="31" t="e">
        <f>#REF!+#REF!+#REF!+#REF!+#REF!</f>
        <v>#REF!</v>
      </c>
      <c r="M88" s="31" t="e">
        <f t="shared" si="7"/>
        <v>#REF!</v>
      </c>
      <c r="N88" s="61" t="e">
        <f t="shared" si="8"/>
        <v>#REF!</v>
      </c>
    </row>
    <row r="89" spans="2:14" ht="13.5" customHeight="1">
      <c r="B89" s="228" t="s">
        <v>184</v>
      </c>
      <c r="C89" s="228"/>
      <c r="F89" s="126" t="e">
        <f>#REF!+#REF!+маркин!#REF!+#REF!+#REF!+#REF!</f>
        <v>#REF!</v>
      </c>
      <c r="G89" s="111"/>
      <c r="H89" s="31">
        <f>G89*1.05</f>
        <v>0</v>
      </c>
      <c r="I89" s="28"/>
      <c r="J89" s="28"/>
      <c r="K89" s="31" t="e">
        <f>#REF!+#REF!+маркин!#REF!+#REF!</f>
        <v>#REF!</v>
      </c>
      <c r="L89" s="31" t="e">
        <f>#REF!+#REF!</f>
        <v>#REF!</v>
      </c>
      <c r="M89" s="31" t="e">
        <f t="shared" si="7"/>
        <v>#REF!</v>
      </c>
      <c r="N89" s="61" t="e">
        <f t="shared" si="8"/>
        <v>#REF!</v>
      </c>
    </row>
    <row r="90" spans="2:14" ht="12.75">
      <c r="B90" s="4" t="s">
        <v>37</v>
      </c>
      <c r="C90" s="4"/>
      <c r="D90" s="4"/>
      <c r="E90" s="13"/>
      <c r="F90" s="188" t="e">
        <f>SUM(F91:F91)</f>
        <v>#REF!</v>
      </c>
      <c r="G90" s="188">
        <f>SUM(G91:G91)</f>
        <v>0</v>
      </c>
      <c r="H90" s="188">
        <f>SUM(H91:H91)</f>
        <v>0</v>
      </c>
      <c r="I90" s="188">
        <f>SUM(I91:I91)</f>
        <v>0</v>
      </c>
      <c r="J90" s="28"/>
      <c r="K90" s="103" t="e">
        <f>#REF!+#REF!+#REF!+#REF!+#REF!+#REF!+#REF!+K91</f>
        <v>#REF!</v>
      </c>
      <c r="L90" s="103" t="e">
        <f>#REF!+#REF!+#REF!+#REF!+#REF!+#REF!+#REF!+L91</f>
        <v>#REF!</v>
      </c>
      <c r="M90" s="103" t="e">
        <f t="shared" si="7"/>
        <v>#REF!</v>
      </c>
      <c r="N90" s="61" t="e">
        <f t="shared" si="8"/>
        <v>#REF!</v>
      </c>
    </row>
    <row r="91" spans="2:14" ht="12.75">
      <c r="B91" s="230"/>
      <c r="C91" s="230"/>
      <c r="D91" s="14"/>
      <c r="F91" s="186" t="e">
        <f>#REF!</f>
        <v>#REF!</v>
      </c>
      <c r="G91" s="110">
        <v>0</v>
      </c>
      <c r="H91" s="109">
        <f>G91*1.05</f>
        <v>0</v>
      </c>
      <c r="I91" s="28"/>
      <c r="J91" s="28"/>
      <c r="K91" s="31" t="e">
        <f>#REF!</f>
        <v>#REF!</v>
      </c>
      <c r="L91" s="31"/>
      <c r="M91" s="31" t="e">
        <f>K91+L91</f>
        <v>#REF!</v>
      </c>
      <c r="N91" s="61" t="e">
        <f t="shared" si="8"/>
        <v>#REF!</v>
      </c>
    </row>
    <row r="92" spans="2:14" ht="12.75">
      <c r="B92" s="4" t="s">
        <v>38</v>
      </c>
      <c r="F92" s="188" t="e">
        <f>SUM(F94:F114)</f>
        <v>#REF!</v>
      </c>
      <c r="G92" s="188">
        <f>SUM(G94:G114)</f>
        <v>8182.099999999999</v>
      </c>
      <c r="H92" s="188">
        <f>SUM(H94:H114)</f>
        <v>8377.970000000001</v>
      </c>
      <c r="I92" s="188">
        <f>SUM(I94:I114)</f>
        <v>0</v>
      </c>
      <c r="J92" s="28"/>
      <c r="K92" s="103" t="e">
        <f>K93+K96+K97+K98+K100+K101+K102+K103+K104+K105+K106+K107+K108+K109+#REF!+#REF!+K110+K111+K112+K113+K114</f>
        <v>#REF!</v>
      </c>
      <c r="L92" s="103" t="e">
        <f>L93+L96+L97+L98+L100+L101+L102+L103+L104+L105+L106+L107+L108+L109+#REF!+#REF!+L110+L111+L112+L113+L114</f>
        <v>#REF!</v>
      </c>
      <c r="M92" s="103" t="e">
        <f>K92+L92</f>
        <v>#REF!</v>
      </c>
      <c r="N92" s="10" t="e">
        <f t="shared" si="8"/>
        <v>#REF!</v>
      </c>
    </row>
    <row r="93" spans="2:14" ht="12.75">
      <c r="B93" s="4" t="s">
        <v>180</v>
      </c>
      <c r="F93" s="61"/>
      <c r="G93" s="111"/>
      <c r="H93" s="110"/>
      <c r="I93" s="111"/>
      <c r="J93" s="28"/>
      <c r="K93" s="31" t="e">
        <f>#REF!+#REF!+#REF!+#REF!+#REF!+#REF!+маркин!E72+#REF!</f>
        <v>#REF!</v>
      </c>
      <c r="L93" s="31" t="e">
        <f>#REF!+#REF!</f>
        <v>#REF!</v>
      </c>
      <c r="M93" s="31" t="e">
        <f>K93+L93</f>
        <v>#REF!</v>
      </c>
      <c r="N93" s="61" t="e">
        <f>H93-M93</f>
        <v>#REF!</v>
      </c>
    </row>
    <row r="94" spans="2:13" ht="12.75">
      <c r="B94" t="s">
        <v>39</v>
      </c>
      <c r="D94" s="11"/>
      <c r="F94" s="111">
        <v>2341.7</v>
      </c>
      <c r="G94" s="110">
        <v>2431.2</v>
      </c>
      <c r="H94" s="111">
        <f aca="true" t="shared" si="9" ref="H94:H99">G94</f>
        <v>2431.2</v>
      </c>
      <c r="I94" s="111"/>
      <c r="J94" s="28"/>
      <c r="K94" s="31"/>
      <c r="L94" s="31"/>
      <c r="M94" s="31"/>
    </row>
    <row r="95" spans="2:14" ht="12.75">
      <c r="B95" t="s">
        <v>40</v>
      </c>
      <c r="E95" s="11"/>
      <c r="F95" s="111">
        <v>75.4</v>
      </c>
      <c r="G95" s="110">
        <v>112.4</v>
      </c>
      <c r="H95" s="111">
        <f t="shared" si="9"/>
        <v>112.4</v>
      </c>
      <c r="I95" s="111"/>
      <c r="J95" s="28"/>
      <c r="K95" s="31"/>
      <c r="L95" s="31"/>
      <c r="M95" s="31"/>
      <c r="N95" s="7"/>
    </row>
    <row r="96" spans="2:15" ht="12.75">
      <c r="B96" s="4" t="s">
        <v>182</v>
      </c>
      <c r="E96" s="11"/>
      <c r="F96" s="123" t="e">
        <f>#REF!+#REF!+#REF!+#REF!+#REF!+#REF!+маркин!H120+#REF!+#REF!</f>
        <v>#REF!</v>
      </c>
      <c r="G96" s="110">
        <v>97.7</v>
      </c>
      <c r="H96" s="111">
        <f t="shared" si="9"/>
        <v>97.7</v>
      </c>
      <c r="I96" s="111"/>
      <c r="J96" s="28"/>
      <c r="K96" s="46" t="e">
        <f>#REF!+#REF!+#REF!+#REF!+#REF!+маркин!H120+#REF!</f>
        <v>#REF!</v>
      </c>
      <c r="L96" s="31" t="e">
        <f>#REF!+#REF!</f>
        <v>#REF!</v>
      </c>
      <c r="M96" s="31" t="e">
        <f aca="true" t="shared" si="10" ref="M96:M114">K96+L96</f>
        <v>#REF!</v>
      </c>
      <c r="N96" s="98" t="e">
        <f aca="true" t="shared" si="11" ref="N96:N114">F96-M96</f>
        <v>#REF!</v>
      </c>
      <c r="O96" s="94" t="e">
        <f>H93+F96+F97+F98</f>
        <v>#REF!</v>
      </c>
    </row>
    <row r="97" spans="2:14" ht="12.75">
      <c r="B97" s="4" t="s">
        <v>183</v>
      </c>
      <c r="E97" s="11"/>
      <c r="F97" s="123" t="e">
        <f>#REF!+#REF!+#REF!+#REF!+#REF!+#REF!+маркин!H122+#REF!+#REF!+#REF!</f>
        <v>#REF!</v>
      </c>
      <c r="G97" s="110">
        <v>25.3</v>
      </c>
      <c r="H97" s="111">
        <f t="shared" si="9"/>
        <v>25.3</v>
      </c>
      <c r="I97" s="111"/>
      <c r="J97" s="28"/>
      <c r="K97" s="46" t="e">
        <f>#REF!+#REF!+#REF!+#REF!+#REF!+#REF!+маркин!H122+#REF!</f>
        <v>#REF!</v>
      </c>
      <c r="L97" s="31" t="e">
        <f>#REF!+#REF!</f>
        <v>#REF!</v>
      </c>
      <c r="M97" s="31" t="e">
        <f t="shared" si="10"/>
        <v>#REF!</v>
      </c>
      <c r="N97" s="98" t="e">
        <f t="shared" si="11"/>
        <v>#REF!</v>
      </c>
    </row>
    <row r="98" spans="2:14" ht="12.75">
      <c r="B98" s="16" t="s">
        <v>268</v>
      </c>
      <c r="E98" s="11"/>
      <c r="F98" s="123" t="e">
        <f>#REF!+#REF!+#REF!+#REF!+#REF!+#REF!+маркин!H123+#REF!+#REF!+#REF!</f>
        <v>#REF!</v>
      </c>
      <c r="G98" s="110">
        <v>52.3</v>
      </c>
      <c r="H98" s="111">
        <f t="shared" si="9"/>
        <v>52.3</v>
      </c>
      <c r="I98" s="111"/>
      <c r="J98" s="28"/>
      <c r="K98" s="46" t="e">
        <f>#REF!+#REF!+#REF!+#REF!+#REF!+#REF!+маркин!H123+#REF!</f>
        <v>#REF!</v>
      </c>
      <c r="L98" s="31" t="e">
        <f>#REF!+#REF!</f>
        <v>#REF!</v>
      </c>
      <c r="M98" s="31" t="e">
        <f t="shared" si="10"/>
        <v>#REF!</v>
      </c>
      <c r="N98" s="98" t="e">
        <f t="shared" si="11"/>
        <v>#REF!</v>
      </c>
    </row>
    <row r="99" spans="2:14" ht="12.75">
      <c r="B99" s="184" t="s">
        <v>242</v>
      </c>
      <c r="E99" s="11"/>
      <c r="F99" s="123"/>
      <c r="G99" s="187">
        <v>77.1</v>
      </c>
      <c r="H99" s="111">
        <f t="shared" si="9"/>
        <v>77.1</v>
      </c>
      <c r="I99" s="111"/>
      <c r="J99" s="28"/>
      <c r="K99" s="46"/>
      <c r="L99" s="31"/>
      <c r="M99" s="31"/>
      <c r="N99" s="98"/>
    </row>
    <row r="100" spans="2:14" ht="12.75">
      <c r="B100" t="s">
        <v>41</v>
      </c>
      <c r="F100" s="124" t="e">
        <f>#REF!+#REF!+#REF!+#REF!+#REF!+#REF!+#REF!+#REF!+#REF!+маркин!H124+#REF!+#REF!+#REF!+#REF!+#REF!+#REF!</f>
        <v>#REF!</v>
      </c>
      <c r="G100" s="110">
        <v>400</v>
      </c>
      <c r="H100" s="111">
        <f>G100*1.05</f>
        <v>420</v>
      </c>
      <c r="I100" s="112"/>
      <c r="J100" s="28"/>
      <c r="K100" s="46" t="e">
        <f>#REF!+#REF!+#REF!+#REF!+#REF!+#REF!+#REF!+#REF!+#REF!+маркин!H124+#REF!</f>
        <v>#REF!</v>
      </c>
      <c r="L100" s="31" t="e">
        <f>#REF!+#REF!+#REF!+#REF!+#REF!</f>
        <v>#REF!</v>
      </c>
      <c r="M100" s="31" t="e">
        <f t="shared" si="10"/>
        <v>#REF!</v>
      </c>
      <c r="N100" s="98" t="e">
        <f t="shared" si="11"/>
        <v>#REF!</v>
      </c>
    </row>
    <row r="101" spans="2:14" ht="12.75">
      <c r="B101" t="s">
        <v>42</v>
      </c>
      <c r="E101" s="10"/>
      <c r="F101" s="124" t="e">
        <f>#REF!+#REF!+#REF!+#REF!+#REF!+#REF!+#REF!+маркин!H125+#REF!+#REF!</f>
        <v>#REF!</v>
      </c>
      <c r="G101" s="110">
        <v>296.6</v>
      </c>
      <c r="H101" s="111">
        <f aca="true" t="shared" si="12" ref="H101:H114">G101*1.05</f>
        <v>311.43000000000006</v>
      </c>
      <c r="I101" s="113"/>
      <c r="J101" s="28"/>
      <c r="K101" s="46" t="e">
        <f>#REF!+#REF!+#REF!+#REF!+#REF!+#REF!+маркин!H125+#REF!</f>
        <v>#REF!</v>
      </c>
      <c r="L101" s="31" t="e">
        <f>#REF!+#REF!</f>
        <v>#REF!</v>
      </c>
      <c r="M101" s="31" t="e">
        <f t="shared" si="10"/>
        <v>#REF!</v>
      </c>
      <c r="N101" s="98" t="e">
        <f t="shared" si="11"/>
        <v>#REF!</v>
      </c>
    </row>
    <row r="102" spans="2:14" ht="12.75">
      <c r="B102" t="s">
        <v>43</v>
      </c>
      <c r="E102" s="11" t="s">
        <v>231</v>
      </c>
      <c r="F102" s="126" t="e">
        <f>#REF!+#REF!+#REF!+#REF!+#REF!+#REF!+#REF!+#REF!+#REF!+маркин!I126+#REF!+#REF!+#REF!+#REF!+#REF!+#REF!</f>
        <v>#REF!</v>
      </c>
      <c r="G102" s="110">
        <v>3122.9</v>
      </c>
      <c r="H102" s="111">
        <f t="shared" si="12"/>
        <v>3279.045</v>
      </c>
      <c r="I102" s="111"/>
      <c r="J102" s="31" t="s">
        <v>4</v>
      </c>
      <c r="K102" s="46" t="e">
        <f>#REF!+#REF!+#REF!+#REF!+#REF!+#REF!+#REF!+#REF!+#REF!+маркин!I126+#REF!</f>
        <v>#REF!</v>
      </c>
      <c r="L102" s="31" t="e">
        <f>#REF!+#REF!+#REF!+#REF!+#REF!</f>
        <v>#REF!</v>
      </c>
      <c r="M102" s="31" t="e">
        <f t="shared" si="10"/>
        <v>#REF!</v>
      </c>
      <c r="N102" s="10" t="e">
        <f t="shared" si="11"/>
        <v>#REF!</v>
      </c>
    </row>
    <row r="103" spans="2:14" ht="12.75">
      <c r="B103" t="s">
        <v>44</v>
      </c>
      <c r="D103" s="11"/>
      <c r="E103" s="11" t="s">
        <v>232</v>
      </c>
      <c r="F103" s="126" t="e">
        <f>#REF!+#REF!+#REF!+#REF!+#REF!+#REF!+#REF!+#REF!+#REF!+маркин!I127+#REF!+#REF!+#REF!+#REF!+#REF!</f>
        <v>#REF!</v>
      </c>
      <c r="G103" s="110">
        <v>1468.7</v>
      </c>
      <c r="H103" s="111">
        <f>G103</f>
        <v>1468.7</v>
      </c>
      <c r="I103" s="111"/>
      <c r="J103" s="31" t="s">
        <v>4</v>
      </c>
      <c r="K103" s="46" t="e">
        <f>#REF!+#REF!+#REF!+#REF!+#REF!+#REF!+#REF!+#REF!+маркин!I127+#REF!</f>
        <v>#REF!</v>
      </c>
      <c r="L103" s="31" t="e">
        <f>#REF!+#REF!+#REF!+#REF!+#REF!</f>
        <v>#REF!</v>
      </c>
      <c r="M103" s="31" t="e">
        <f t="shared" si="10"/>
        <v>#REF!</v>
      </c>
      <c r="N103" s="10" t="e">
        <f t="shared" si="11"/>
        <v>#REF!</v>
      </c>
    </row>
    <row r="104" spans="2:14" ht="12.75">
      <c r="B104" t="s">
        <v>165</v>
      </c>
      <c r="D104" s="11"/>
      <c r="E104" s="11"/>
      <c r="F104" s="126" t="e">
        <f>#REF!+#REF!+#REF!+#REF!+#REF!+#REF!+маркин!#REF!</f>
        <v>#REF!</v>
      </c>
      <c r="G104" s="111"/>
      <c r="H104" s="111">
        <f t="shared" si="12"/>
        <v>0</v>
      </c>
      <c r="I104" s="111"/>
      <c r="J104" s="31" t="s">
        <v>4</v>
      </c>
      <c r="K104" s="46" t="e">
        <f>#REF!+#REF!+#REF!+#REF!+#REF!+#REF!+маркин!#REF!</f>
        <v>#REF!</v>
      </c>
      <c r="L104" s="31"/>
      <c r="M104" s="31" t="e">
        <f t="shared" si="10"/>
        <v>#REF!</v>
      </c>
      <c r="N104" s="10" t="e">
        <f t="shared" si="11"/>
        <v>#REF!</v>
      </c>
    </row>
    <row r="105" spans="2:14" ht="12.75">
      <c r="B105" t="s">
        <v>81</v>
      </c>
      <c r="D105" s="11"/>
      <c r="F105" s="124">
        <f>маркин!I128</f>
        <v>97.9</v>
      </c>
      <c r="G105" s="110">
        <f>77.3+20.6</f>
        <v>97.9</v>
      </c>
      <c r="H105" s="111">
        <f t="shared" si="12"/>
        <v>102.79500000000002</v>
      </c>
      <c r="I105" s="111"/>
      <c r="J105" s="31" t="s">
        <v>4</v>
      </c>
      <c r="K105" s="46">
        <f>маркин!I128</f>
        <v>97.9</v>
      </c>
      <c r="L105" s="31"/>
      <c r="M105" s="31">
        <f t="shared" si="10"/>
        <v>97.9</v>
      </c>
      <c r="N105" s="10">
        <f t="shared" si="11"/>
        <v>0</v>
      </c>
    </row>
    <row r="106" spans="2:14" ht="12.75">
      <c r="B106" t="s">
        <v>126</v>
      </c>
      <c r="D106" s="11"/>
      <c r="F106" s="124" t="e">
        <f>#REF!+#REF!+#REF!+#REF!+#REF!+#REF!+маркин!I129+#REF!</f>
        <v>#REF!</v>
      </c>
      <c r="G106" s="111"/>
      <c r="H106" s="111">
        <f t="shared" si="12"/>
        <v>0</v>
      </c>
      <c r="I106" s="111"/>
      <c r="J106" s="31" t="s">
        <v>4</v>
      </c>
      <c r="K106" s="46" t="e">
        <f>#REF!+#REF!+#REF!+#REF!+#REF!+#REF!+маркин!I129</f>
        <v>#REF!</v>
      </c>
      <c r="L106" s="31" t="e">
        <f>#REF!</f>
        <v>#REF!</v>
      </c>
      <c r="M106" s="31" t="e">
        <f t="shared" si="10"/>
        <v>#REF!</v>
      </c>
      <c r="N106" s="10" t="e">
        <f t="shared" si="11"/>
        <v>#REF!</v>
      </c>
    </row>
    <row r="107" spans="2:14" ht="12.75">
      <c r="B107" t="s">
        <v>127</v>
      </c>
      <c r="D107" s="11"/>
      <c r="F107" s="124" t="e">
        <f>#REF!+#REF!+#REF!+#REF!+#REF!+#REF!+#REF!+#REF!</f>
        <v>#REF!</v>
      </c>
      <c r="G107" s="111"/>
      <c r="H107" s="111">
        <f t="shared" si="12"/>
        <v>0</v>
      </c>
      <c r="I107" s="111"/>
      <c r="J107" s="31" t="s">
        <v>4</v>
      </c>
      <c r="K107" s="46" t="e">
        <f>#REF!+#REF!+#REF!+#REF!+#REF!</f>
        <v>#REF!</v>
      </c>
      <c r="L107" s="31" t="e">
        <f>#REF!+#REF!+#REF!</f>
        <v>#REF!</v>
      </c>
      <c r="M107" s="31" t="e">
        <f t="shared" si="10"/>
        <v>#REF!</v>
      </c>
      <c r="N107" s="10" t="e">
        <f t="shared" si="11"/>
        <v>#REF!</v>
      </c>
    </row>
    <row r="108" spans="2:14" ht="12.75">
      <c r="B108" t="s">
        <v>240</v>
      </c>
      <c r="D108" s="11"/>
      <c r="F108" s="124"/>
      <c r="G108" s="110">
        <v>0</v>
      </c>
      <c r="H108" s="111">
        <f t="shared" si="12"/>
        <v>0</v>
      </c>
      <c r="I108" s="111"/>
      <c r="J108" s="31" t="s">
        <v>4</v>
      </c>
      <c r="K108" s="46" t="e">
        <f>#REF!</f>
        <v>#REF!</v>
      </c>
      <c r="L108" s="31" t="e">
        <f>#REF!</f>
        <v>#REF!</v>
      </c>
      <c r="M108" s="31" t="e">
        <f t="shared" si="10"/>
        <v>#REF!</v>
      </c>
      <c r="N108" s="10" t="e">
        <f t="shared" si="11"/>
        <v>#REF!</v>
      </c>
    </row>
    <row r="109" spans="2:14" ht="12.75">
      <c r="B109" t="s">
        <v>178</v>
      </c>
      <c r="D109" s="11"/>
      <c r="F109" s="124" t="e">
        <f>#REF!+#REF!</f>
        <v>#REF!</v>
      </c>
      <c r="G109" s="111"/>
      <c r="H109" s="111">
        <f t="shared" si="12"/>
        <v>0</v>
      </c>
      <c r="I109" s="111"/>
      <c r="J109" s="31" t="s">
        <v>4</v>
      </c>
      <c r="K109" s="46" t="e">
        <f>#REF!+#REF!</f>
        <v>#REF!</v>
      </c>
      <c r="L109" s="31"/>
      <c r="M109" s="31" t="e">
        <f t="shared" si="10"/>
        <v>#REF!</v>
      </c>
      <c r="N109" s="10" t="e">
        <f t="shared" si="11"/>
        <v>#REF!</v>
      </c>
    </row>
    <row r="110" spans="2:15" ht="12.75">
      <c r="B110" t="s">
        <v>222</v>
      </c>
      <c r="D110" s="11"/>
      <c r="F110" s="124" t="e">
        <f>#REF!+#REF!+#REF!+#REF!</f>
        <v>#REF!</v>
      </c>
      <c r="G110" s="111"/>
      <c r="H110" s="111">
        <f t="shared" si="12"/>
        <v>0</v>
      </c>
      <c r="I110" s="111"/>
      <c r="J110" s="31" t="s">
        <v>4</v>
      </c>
      <c r="K110" s="46" t="e">
        <f>#REF!+#REF!</f>
        <v>#REF!</v>
      </c>
      <c r="L110" s="31" t="e">
        <f>#REF!+#REF!</f>
        <v>#REF!</v>
      </c>
      <c r="M110" s="31" t="e">
        <f t="shared" si="10"/>
        <v>#REF!</v>
      </c>
      <c r="N110" s="10" t="e">
        <f t="shared" si="11"/>
        <v>#REF!</v>
      </c>
      <c r="O110" s="10"/>
    </row>
    <row r="111" spans="2:15" ht="12.75">
      <c r="B111" s="230" t="s">
        <v>190</v>
      </c>
      <c r="C111" s="230"/>
      <c r="D111" s="11"/>
      <c r="F111" s="124" t="e">
        <f>маркин!#REF!+#REF!+#REF!</f>
        <v>#REF!</v>
      </c>
      <c r="G111" s="111"/>
      <c r="H111" s="111">
        <f t="shared" si="12"/>
        <v>0</v>
      </c>
      <c r="I111" s="111"/>
      <c r="J111" s="31" t="s">
        <v>4</v>
      </c>
      <c r="K111" s="46" t="e">
        <f>маркин!#REF!</f>
        <v>#REF!</v>
      </c>
      <c r="L111" s="31" t="e">
        <f>#REF!</f>
        <v>#REF!</v>
      </c>
      <c r="M111" s="31" t="e">
        <f t="shared" si="10"/>
        <v>#REF!</v>
      </c>
      <c r="N111" s="10" t="e">
        <f t="shared" si="11"/>
        <v>#REF!</v>
      </c>
      <c r="O111" s="10"/>
    </row>
    <row r="112" spans="2:15" ht="12.75">
      <c r="B112" s="230" t="s">
        <v>192</v>
      </c>
      <c r="C112" s="230"/>
      <c r="D112" s="11"/>
      <c r="F112" s="124" t="e">
        <f>#REF!</f>
        <v>#REF!</v>
      </c>
      <c r="G112" s="129"/>
      <c r="H112" s="111">
        <f t="shared" si="12"/>
        <v>0</v>
      </c>
      <c r="I112" s="111"/>
      <c r="J112" s="31" t="s">
        <v>4</v>
      </c>
      <c r="K112" s="46" t="e">
        <f>#REF!</f>
        <v>#REF!</v>
      </c>
      <c r="L112" s="31"/>
      <c r="M112" s="31" t="e">
        <f t="shared" si="10"/>
        <v>#REF!</v>
      </c>
      <c r="N112" s="10" t="e">
        <f t="shared" si="11"/>
        <v>#REF!</v>
      </c>
      <c r="O112" s="10"/>
    </row>
    <row r="113" spans="2:15" ht="12.75">
      <c r="B113" s="230" t="s">
        <v>196</v>
      </c>
      <c r="C113" s="230"/>
      <c r="D113" s="11"/>
      <c r="F113" s="124" t="e">
        <f>#REF!+#REF!+#REF!+#REF!</f>
        <v>#REF!</v>
      </c>
      <c r="G113" s="111"/>
      <c r="H113" s="111">
        <f t="shared" si="12"/>
        <v>0</v>
      </c>
      <c r="I113" s="111"/>
      <c r="J113" s="31" t="s">
        <v>4</v>
      </c>
      <c r="K113" s="46" t="e">
        <f>#REF!+#REF!+#REF!+#REF!</f>
        <v>#REF!</v>
      </c>
      <c r="L113" s="31"/>
      <c r="M113" s="31" t="e">
        <f t="shared" si="10"/>
        <v>#REF!</v>
      </c>
      <c r="N113" s="10" t="e">
        <f t="shared" si="11"/>
        <v>#REF!</v>
      </c>
      <c r="O113" s="10"/>
    </row>
    <row r="114" spans="2:15" ht="12.75">
      <c r="B114" s="12" t="s">
        <v>221</v>
      </c>
      <c r="C114" s="12"/>
      <c r="D114" s="11"/>
      <c r="F114" s="124" t="e">
        <f>#REF!</f>
        <v>#REF!</v>
      </c>
      <c r="G114" s="111"/>
      <c r="H114" s="111">
        <f t="shared" si="12"/>
        <v>0</v>
      </c>
      <c r="I114" s="111"/>
      <c r="J114" s="31" t="s">
        <v>4</v>
      </c>
      <c r="K114" s="46" t="e">
        <f>#REF!</f>
        <v>#REF!</v>
      </c>
      <c r="L114" s="31"/>
      <c r="M114" s="31" t="e">
        <f t="shared" si="10"/>
        <v>#REF!</v>
      </c>
      <c r="N114" s="10" t="e">
        <f t="shared" si="11"/>
        <v>#REF!</v>
      </c>
      <c r="O114" s="10"/>
    </row>
    <row r="115" spans="2:15" ht="15">
      <c r="B115" s="48" t="s">
        <v>45</v>
      </c>
      <c r="C115" s="49"/>
      <c r="D115" s="50"/>
      <c r="F115" s="130" t="e">
        <f>F12+F13+F14+F15+F17+F19+F20+F48+F83+F90+F92</f>
        <v>#REF!</v>
      </c>
      <c r="G115" s="130">
        <f>G12+G13+G14+G15+G17+G19+G20+G48+G83+G90+G92</f>
        <v>32229.4</v>
      </c>
      <c r="H115" s="130">
        <f>H12+H13+H14+H15+H17+H19+H20+H48+H83+H90+H92</f>
        <v>33726.07</v>
      </c>
      <c r="I115" s="130">
        <f>I12+I13+I14+I15+I17+I19+I20+I48+I83+I90+I92</f>
        <v>0</v>
      </c>
      <c r="J115" s="28"/>
      <c r="K115" s="31"/>
      <c r="L115" s="31"/>
      <c r="M115" s="28"/>
      <c r="O115" s="17"/>
    </row>
    <row r="116" spans="2:17" ht="12.75">
      <c r="B116" s="4"/>
      <c r="D116" s="4"/>
      <c r="E116" s="17"/>
      <c r="F116" s="21"/>
      <c r="G116" s="136">
        <f>31858.2+371.2</f>
        <v>32229.4</v>
      </c>
      <c r="H116" s="31"/>
      <c r="I116" s="28"/>
      <c r="J116" s="28"/>
      <c r="K116" s="31"/>
      <c r="L116" s="31"/>
      <c r="M116" s="28"/>
      <c r="O116" s="10" t="e">
        <f>F116-F115</f>
        <v>#REF!</v>
      </c>
      <c r="P116" s="10">
        <f>D115-F116</f>
        <v>0</v>
      </c>
      <c r="Q116" s="17"/>
    </row>
    <row r="117" spans="2:17" ht="12.75">
      <c r="B117" s="4"/>
      <c r="D117" s="4"/>
      <c r="E117" s="17"/>
      <c r="F117" s="21"/>
      <c r="G117" s="181">
        <f>G116-G115</f>
        <v>0</v>
      </c>
      <c r="H117" s="182"/>
      <c r="I117" s="7"/>
      <c r="J117" s="183"/>
      <c r="K117" s="31"/>
      <c r="L117" s="31"/>
      <c r="M117" s="28"/>
      <c r="O117" s="10"/>
      <c r="P117" s="10"/>
      <c r="Q117" s="17"/>
    </row>
    <row r="118" spans="2:15" ht="41.25" customHeight="1">
      <c r="B118" s="231" t="s">
        <v>49</v>
      </c>
      <c r="C118" s="231"/>
      <c r="D118" s="231"/>
      <c r="E118" s="231"/>
      <c r="F118" s="231"/>
      <c r="G118" s="231"/>
      <c r="H118" s="231"/>
      <c r="I118" s="231"/>
      <c r="J118" s="135"/>
      <c r="K118" s="104"/>
      <c r="L118" s="104"/>
      <c r="M118" s="105"/>
      <c r="N118" s="95"/>
      <c r="O118" s="17" t="e">
        <f>D115-F115</f>
        <v>#REF!</v>
      </c>
    </row>
    <row r="119" spans="2:15" ht="12.75">
      <c r="B119" s="4" t="s">
        <v>16</v>
      </c>
      <c r="F119" s="131" t="e">
        <f>#REF!+#REF!+#REF!+#REF!+#REF!+#REF!+#REF!+#REF!+#REF!+маркин!D133+#REF!+#REF!+#REF!+#REF!+#REF!+#REF!</f>
        <v>#REF!</v>
      </c>
      <c r="G119" s="131">
        <v>121.3</v>
      </c>
      <c r="H119" s="31">
        <f>G119*1.05</f>
        <v>127.36500000000001</v>
      </c>
      <c r="I119" s="28"/>
      <c r="K119" s="103" t="e">
        <f>K120</f>
        <v>#REF!</v>
      </c>
      <c r="L119" s="103" t="e">
        <f>L120</f>
        <v>#REF!</v>
      </c>
      <c r="M119" s="103" t="e">
        <f>K119+L119</f>
        <v>#REF!</v>
      </c>
      <c r="N119" s="10" t="e">
        <f>F119-M119</f>
        <v>#REF!</v>
      </c>
      <c r="O119" s="17" t="e">
        <f>D115+F120</f>
        <v>#REF!</v>
      </c>
    </row>
    <row r="120" spans="1:14" ht="15">
      <c r="A120" s="15"/>
      <c r="B120" s="51"/>
      <c r="C120" s="51" t="s">
        <v>48</v>
      </c>
      <c r="D120" s="51"/>
      <c r="F120" s="132" t="e">
        <f>F119+F115</f>
        <v>#REF!</v>
      </c>
      <c r="G120" s="132">
        <f>G119+G115</f>
        <v>32350.7</v>
      </c>
      <c r="H120" s="132">
        <f>H119+H115</f>
        <v>33853.435</v>
      </c>
      <c r="I120" s="132">
        <f>I119+I115</f>
        <v>0</v>
      </c>
      <c r="J120" s="15"/>
      <c r="K120" s="106" t="e">
        <f>#REF!+#REF!+#REF!+#REF!+#REF!+#REF!+#REF!+#REF!+#REF!+маркин!D133+#REF!</f>
        <v>#REF!</v>
      </c>
      <c r="L120" s="106" t="e">
        <f>#REF!+#REF!+#REF!+#REF!+#REF!</f>
        <v>#REF!</v>
      </c>
      <c r="M120" s="31" t="e">
        <f>K120+L120</f>
        <v>#REF!</v>
      </c>
      <c r="N120" s="10" t="e">
        <f>F120-M120</f>
        <v>#REF!</v>
      </c>
    </row>
    <row r="121" spans="2:14" ht="12.75">
      <c r="B121" s="15"/>
      <c r="C121" s="16"/>
      <c r="D121" s="15"/>
      <c r="E121" s="15"/>
      <c r="F121" s="15"/>
      <c r="G121" s="15"/>
      <c r="H121" s="15"/>
      <c r="I121" s="15"/>
      <c r="J121" s="15"/>
      <c r="K121" s="106"/>
      <c r="L121" s="106"/>
      <c r="M121" s="80"/>
      <c r="N121" s="15"/>
    </row>
    <row r="122" spans="7:14" ht="12.75">
      <c r="G122">
        <v>32350.7</v>
      </c>
      <c r="K122" s="10"/>
      <c r="L122" s="10"/>
      <c r="N122" s="17">
        <f>I122-M122</f>
        <v>0</v>
      </c>
    </row>
    <row r="123" spans="11:14" ht="12.75">
      <c r="K123" s="10"/>
      <c r="L123" s="10"/>
      <c r="N123" s="17">
        <f>I123-M123</f>
        <v>0</v>
      </c>
    </row>
    <row r="124" spans="11:14" ht="12.75">
      <c r="K124" s="10"/>
      <c r="L124" s="10"/>
      <c r="N124" s="17">
        <f>I124-M124</f>
        <v>0</v>
      </c>
    </row>
    <row r="125" spans="11:14" ht="12.75">
      <c r="K125" s="10"/>
      <c r="L125" s="10"/>
      <c r="N125" s="17">
        <f>I125-M125</f>
        <v>0</v>
      </c>
    </row>
  </sheetData>
  <sheetProtection/>
  <mergeCells count="24">
    <mergeCell ref="B72:D72"/>
    <mergeCell ref="B46:D46"/>
    <mergeCell ref="B74:D74"/>
    <mergeCell ref="D8:H9"/>
    <mergeCell ref="C10:I10"/>
    <mergeCell ref="B65:D65"/>
    <mergeCell ref="B70:D70"/>
    <mergeCell ref="B47:C47"/>
    <mergeCell ref="B66:D66"/>
    <mergeCell ref="B71:C71"/>
    <mergeCell ref="B118:I118"/>
    <mergeCell ref="B89:C89"/>
    <mergeCell ref="B80:C80"/>
    <mergeCell ref="B111:C111"/>
    <mergeCell ref="B91:C91"/>
    <mergeCell ref="B113:C113"/>
    <mergeCell ref="B112:C112"/>
    <mergeCell ref="B78:D78"/>
    <mergeCell ref="B88:C88"/>
    <mergeCell ref="B73:E73"/>
    <mergeCell ref="B75:D75"/>
    <mergeCell ref="B76:C76"/>
    <mergeCell ref="B79:C79"/>
    <mergeCell ref="B77:D77"/>
  </mergeCells>
  <printOptions/>
  <pageMargins left="0" right="0" top="0.1968503937007874" bottom="0.1968503937007874" header="0.5118110236220472" footer="0.5118110236220472"/>
  <pageSetup horizontalDpi="600" verticalDpi="600" orientation="portrait" paperSize="9" scale="63" r:id="rId1"/>
  <rowBreaks count="2" manualBreakCount="2">
    <brk id="71" max="8" man="1"/>
    <brk id="12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M201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2" max="2" width="8.375" style="0" customWidth="1"/>
    <col min="3" max="3" width="21.125" style="0" customWidth="1"/>
    <col min="4" max="4" width="12.25390625" style="0" bestFit="1" customWidth="1"/>
    <col min="5" max="5" width="20.875" style="0" customWidth="1"/>
    <col min="7" max="7" width="11.125" style="0" customWidth="1"/>
    <col min="8" max="8" width="14.875" style="0" customWidth="1"/>
    <col min="9" max="9" width="6.75390625" style="0" customWidth="1"/>
    <col min="11" max="11" width="10.875" style="0" bestFit="1" customWidth="1"/>
    <col min="12" max="12" width="12.375" style="0" customWidth="1"/>
    <col min="13" max="13" width="12.125" style="0" customWidth="1"/>
    <col min="23" max="23" width="12.125" style="0" customWidth="1"/>
    <col min="29" max="29" width="9.375" style="0" customWidth="1"/>
  </cols>
  <sheetData>
    <row r="1" spans="1:10" ht="15">
      <c r="A1" s="91"/>
      <c r="B1" s="91"/>
      <c r="C1" s="91"/>
      <c r="D1" s="91"/>
      <c r="E1" s="91"/>
      <c r="F1" s="170" t="s">
        <v>0</v>
      </c>
      <c r="G1" s="170"/>
      <c r="H1" s="170"/>
      <c r="I1" s="170"/>
      <c r="J1" s="91"/>
    </row>
    <row r="2" spans="1:10" ht="15">
      <c r="A2" s="91"/>
      <c r="B2" s="91"/>
      <c r="C2" s="91"/>
      <c r="D2" s="91"/>
      <c r="E2" s="170" t="s">
        <v>1</v>
      </c>
      <c r="F2" s="170"/>
      <c r="G2" s="170"/>
      <c r="H2" s="170"/>
      <c r="I2" s="91"/>
      <c r="J2" s="91"/>
    </row>
    <row r="3" spans="1:10" ht="15">
      <c r="A3" s="91"/>
      <c r="B3" s="91"/>
      <c r="C3" s="91"/>
      <c r="D3" s="91"/>
      <c r="E3" s="170" t="s">
        <v>77</v>
      </c>
      <c r="F3" s="170"/>
      <c r="G3" s="170"/>
      <c r="H3" s="170"/>
      <c r="I3" s="91"/>
      <c r="J3" s="91"/>
    </row>
    <row r="4" spans="1:10" ht="15">
      <c r="A4" s="91"/>
      <c r="B4" s="91"/>
      <c r="C4" s="91"/>
      <c r="D4" s="91"/>
      <c r="E4" s="170" t="s">
        <v>289</v>
      </c>
      <c r="F4" s="170"/>
      <c r="G4" s="170"/>
      <c r="H4" s="170"/>
      <c r="I4" s="91"/>
      <c r="J4" s="91"/>
    </row>
    <row r="5" spans="1:10" ht="12.7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8">
      <c r="A6" s="91"/>
      <c r="B6" s="154" t="s">
        <v>236</v>
      </c>
      <c r="C6" s="91"/>
      <c r="D6" s="91"/>
      <c r="E6" s="91"/>
      <c r="F6" s="91"/>
      <c r="G6" s="91"/>
      <c r="H6" s="91"/>
      <c r="I6" s="91"/>
      <c r="J6" s="91"/>
    </row>
    <row r="7" spans="1:10" ht="18">
      <c r="A7" s="91"/>
      <c r="B7" s="154"/>
      <c r="C7" s="147" t="s">
        <v>78</v>
      </c>
      <c r="D7" s="91"/>
      <c r="E7" s="91"/>
      <c r="F7" s="91"/>
      <c r="G7" s="91"/>
      <c r="H7" s="91"/>
      <c r="I7" s="91"/>
      <c r="J7" s="91"/>
    </row>
    <row r="8" spans="1:10" ht="18">
      <c r="A8" s="91"/>
      <c r="B8" s="154"/>
      <c r="C8" s="91"/>
      <c r="D8" s="91"/>
      <c r="E8" s="91"/>
      <c r="F8" s="91"/>
      <c r="G8" s="91"/>
      <c r="H8" s="91"/>
      <c r="I8" s="91"/>
      <c r="J8" s="91"/>
    </row>
    <row r="9" spans="1:10" ht="36" customHeight="1">
      <c r="A9" s="91"/>
      <c r="B9" s="238" t="s">
        <v>2</v>
      </c>
      <c r="C9" s="238"/>
      <c r="D9" s="238"/>
      <c r="E9" s="238"/>
      <c r="F9" s="238"/>
      <c r="G9" s="238"/>
      <c r="H9" s="238"/>
      <c r="I9" s="238"/>
      <c r="J9" s="91"/>
    </row>
    <row r="10" spans="1:10" ht="12.75">
      <c r="A10" s="91"/>
      <c r="B10" s="91"/>
      <c r="C10" s="91"/>
      <c r="D10" s="91"/>
      <c r="E10" s="91"/>
      <c r="F10" s="91"/>
      <c r="G10" s="91"/>
      <c r="H10" s="91"/>
      <c r="I10" s="91"/>
      <c r="J10" s="91"/>
    </row>
    <row r="11" spans="1:10" ht="15">
      <c r="A11" s="91"/>
      <c r="B11" s="19" t="s">
        <v>271</v>
      </c>
      <c r="C11" s="47"/>
      <c r="D11" s="47"/>
      <c r="E11" s="47"/>
      <c r="F11" s="108">
        <v>0</v>
      </c>
      <c r="G11" s="107" t="s">
        <v>4</v>
      </c>
      <c r="H11" s="91"/>
      <c r="I11" s="91"/>
      <c r="J11" s="91"/>
    </row>
    <row r="12" spans="1:10" ht="15">
      <c r="A12" s="91"/>
      <c r="B12" s="19" t="s">
        <v>55</v>
      </c>
      <c r="C12" s="47"/>
      <c r="D12" s="47"/>
      <c r="E12" s="47"/>
      <c r="F12" s="108">
        <f>F13</f>
        <v>12</v>
      </c>
      <c r="G12" s="107" t="s">
        <v>4</v>
      </c>
      <c r="H12" s="91"/>
      <c r="I12" s="91"/>
      <c r="J12" s="91"/>
    </row>
    <row r="13" spans="1:10" ht="15">
      <c r="A13" s="91"/>
      <c r="B13" s="91" t="s">
        <v>161</v>
      </c>
      <c r="C13" s="47"/>
      <c r="D13" s="47"/>
      <c r="E13" s="47"/>
      <c r="F13" s="221">
        <v>12</v>
      </c>
      <c r="G13" s="107" t="s">
        <v>4</v>
      </c>
      <c r="H13" s="91"/>
      <c r="I13" s="91"/>
      <c r="J13" s="91"/>
    </row>
    <row r="14" spans="1:10" ht="12.75">
      <c r="A14" s="91"/>
      <c r="B14" s="19" t="s">
        <v>79</v>
      </c>
      <c r="C14" s="91"/>
      <c r="D14" s="202">
        <f>G15</f>
        <v>0.7999999999999989</v>
      </c>
      <c r="E14" s="91" t="s">
        <v>4</v>
      </c>
      <c r="F14" s="91"/>
      <c r="G14" s="91"/>
      <c r="H14" s="91"/>
      <c r="I14" s="91"/>
      <c r="J14" s="91"/>
    </row>
    <row r="15" spans="1:10" ht="12.75">
      <c r="A15" s="91"/>
      <c r="B15" s="91" t="s">
        <v>164</v>
      </c>
      <c r="C15" s="91"/>
      <c r="D15" s="91"/>
      <c r="E15" s="91"/>
      <c r="F15" s="91"/>
      <c r="G15" s="222">
        <f>9.2-8.4</f>
        <v>0.7999999999999989</v>
      </c>
      <c r="H15" s="91" t="s">
        <v>4</v>
      </c>
      <c r="I15" s="91"/>
      <c r="J15" s="91"/>
    </row>
    <row r="16" spans="1:10" ht="12.75">
      <c r="A16" s="91"/>
      <c r="B16" s="19" t="s">
        <v>3</v>
      </c>
      <c r="C16" s="91"/>
      <c r="D16" s="91"/>
      <c r="E16" s="202">
        <v>439.6</v>
      </c>
      <c r="F16" s="91" t="s">
        <v>4</v>
      </c>
      <c r="G16" s="91"/>
      <c r="H16" s="91"/>
      <c r="I16" s="91"/>
      <c r="J16" s="91"/>
    </row>
    <row r="17" spans="1:10" ht="12.75">
      <c r="A17" s="91"/>
      <c r="B17" s="141" t="s">
        <v>5</v>
      </c>
      <c r="C17" s="142"/>
      <c r="D17" s="142" t="s">
        <v>6</v>
      </c>
      <c r="E17" s="142" t="s">
        <v>7</v>
      </c>
      <c r="F17" s="142" t="s">
        <v>8</v>
      </c>
      <c r="G17" s="239"/>
      <c r="H17" s="239"/>
      <c r="I17" s="239"/>
      <c r="J17" s="91"/>
    </row>
    <row r="18" spans="1:10" ht="12.75">
      <c r="A18" s="91"/>
      <c r="B18" s="141" t="s">
        <v>9</v>
      </c>
      <c r="C18" s="142"/>
      <c r="D18" s="143">
        <v>0.9</v>
      </c>
      <c r="E18" s="144">
        <f>F18/D18</f>
        <v>48.25555555555555</v>
      </c>
      <c r="F18" s="141">
        <v>43.43</v>
      </c>
      <c r="G18" s="25"/>
      <c r="H18" s="25"/>
      <c r="I18" s="25"/>
      <c r="J18" s="91"/>
    </row>
    <row r="19" spans="1:10" ht="12.75">
      <c r="A19" s="91"/>
      <c r="B19" s="141" t="s">
        <v>10</v>
      </c>
      <c r="C19" s="141"/>
      <c r="D19" s="143">
        <v>0</v>
      </c>
      <c r="E19" s="144">
        <v>0</v>
      </c>
      <c r="F19" s="141">
        <v>0</v>
      </c>
      <c r="G19" s="25"/>
      <c r="H19" s="25"/>
      <c r="I19" s="25"/>
      <c r="J19" s="91"/>
    </row>
    <row r="20" spans="1:10" ht="12.75">
      <c r="A20" s="91"/>
      <c r="B20" s="141" t="s">
        <v>11</v>
      </c>
      <c r="C20" s="141"/>
      <c r="D20" s="143">
        <v>0</v>
      </c>
      <c r="E20" s="144">
        <v>0</v>
      </c>
      <c r="F20" s="141">
        <v>0</v>
      </c>
      <c r="G20" s="25"/>
      <c r="H20" s="25"/>
      <c r="I20" s="25"/>
      <c r="J20" s="91"/>
    </row>
    <row r="21" spans="1:10" ht="12.75">
      <c r="A21" s="91"/>
      <c r="B21" s="141" t="s">
        <v>12</v>
      </c>
      <c r="C21" s="141"/>
      <c r="D21" s="143">
        <v>20.5</v>
      </c>
      <c r="E21" s="144">
        <f>F21/D21</f>
        <v>4.788780487804878</v>
      </c>
      <c r="F21" s="141">
        <v>98.17</v>
      </c>
      <c r="G21" s="25"/>
      <c r="H21" s="25"/>
      <c r="I21" s="25"/>
      <c r="J21" s="91"/>
    </row>
    <row r="22" spans="1:10" ht="12.75">
      <c r="A22" s="91"/>
      <c r="B22" s="141" t="s">
        <v>13</v>
      </c>
      <c r="C22" s="141"/>
      <c r="D22" s="143"/>
      <c r="E22" s="144">
        <v>0</v>
      </c>
      <c r="F22" s="141"/>
      <c r="G22" s="25"/>
      <c r="H22" s="25"/>
      <c r="I22" s="25"/>
      <c r="J22" s="91"/>
    </row>
    <row r="23" spans="1:10" ht="12.75">
      <c r="A23" s="91"/>
      <c r="B23" s="240" t="s">
        <v>14</v>
      </c>
      <c r="C23" s="241"/>
      <c r="D23" s="145">
        <v>41.5</v>
      </c>
      <c r="E23" s="144">
        <f>F23/D23</f>
        <v>7.181686746987952</v>
      </c>
      <c r="F23" s="141">
        <v>298.04</v>
      </c>
      <c r="G23" s="25"/>
      <c r="H23" s="25"/>
      <c r="I23" s="25"/>
      <c r="J23" s="91"/>
    </row>
    <row r="24" spans="1:10" ht="12.75">
      <c r="A24" s="91"/>
      <c r="B24" s="240" t="s">
        <v>15</v>
      </c>
      <c r="C24" s="241"/>
      <c r="D24" s="141"/>
      <c r="E24" s="141"/>
      <c r="F24" s="9">
        <f>SUM(F18:F23)</f>
        <v>439.64</v>
      </c>
      <c r="G24" s="25"/>
      <c r="H24" s="25"/>
      <c r="I24" s="25"/>
      <c r="J24" s="91"/>
    </row>
    <row r="25" spans="1:10" ht="12.75">
      <c r="A25" s="91"/>
      <c r="B25" s="19" t="s">
        <v>16</v>
      </c>
      <c r="C25" s="91"/>
      <c r="D25" s="91"/>
      <c r="E25" s="19"/>
      <c r="F25" s="162">
        <f>SUM(F26:F44)</f>
        <v>269.6</v>
      </c>
      <c r="G25" s="19" t="s">
        <v>4</v>
      </c>
      <c r="H25" s="91"/>
      <c r="I25" s="91"/>
      <c r="J25" s="91"/>
    </row>
    <row r="26" spans="1:10" ht="12.75">
      <c r="A26" s="91"/>
      <c r="B26" s="91" t="s">
        <v>17</v>
      </c>
      <c r="C26" s="91"/>
      <c r="D26" s="91"/>
      <c r="E26" s="91"/>
      <c r="F26" s="203">
        <v>21</v>
      </c>
      <c r="G26" s="91" t="s">
        <v>4</v>
      </c>
      <c r="H26" s="91"/>
      <c r="I26" s="91"/>
      <c r="J26" s="91"/>
    </row>
    <row r="27" spans="1:10" ht="12.75">
      <c r="A27" s="91"/>
      <c r="B27" s="91" t="s">
        <v>80</v>
      </c>
      <c r="C27" s="91"/>
      <c r="D27" s="91"/>
      <c r="E27" s="91"/>
      <c r="F27" s="203">
        <v>6.4</v>
      </c>
      <c r="G27" s="91" t="s">
        <v>4</v>
      </c>
      <c r="H27" s="91"/>
      <c r="I27" s="91"/>
      <c r="J27" s="91"/>
    </row>
    <row r="28" spans="1:10" ht="12.75">
      <c r="A28" s="91"/>
      <c r="B28" s="91" t="s">
        <v>18</v>
      </c>
      <c r="C28" s="91"/>
      <c r="D28" s="91"/>
      <c r="E28" s="91"/>
      <c r="F28" s="203">
        <v>1</v>
      </c>
      <c r="G28" s="91" t="s">
        <v>4</v>
      </c>
      <c r="H28" s="91"/>
      <c r="I28" s="91"/>
      <c r="J28" s="91"/>
    </row>
    <row r="29" spans="1:10" ht="12.75">
      <c r="A29" s="91"/>
      <c r="B29" s="91" t="s">
        <v>74</v>
      </c>
      <c r="C29" s="91"/>
      <c r="D29" s="91"/>
      <c r="E29" s="91"/>
      <c r="F29" s="203">
        <v>20.2</v>
      </c>
      <c r="G29" s="91" t="s">
        <v>4</v>
      </c>
      <c r="H29" s="91"/>
      <c r="I29" s="91"/>
      <c r="J29" s="91"/>
    </row>
    <row r="30" spans="1:10" ht="12.75">
      <c r="A30" s="91"/>
      <c r="B30" s="91" t="s">
        <v>19</v>
      </c>
      <c r="C30" s="91"/>
      <c r="D30" s="91"/>
      <c r="E30" s="91"/>
      <c r="F30" s="203">
        <v>6.1</v>
      </c>
      <c r="G30" s="91" t="s">
        <v>4</v>
      </c>
      <c r="H30" s="91"/>
      <c r="I30" s="91"/>
      <c r="J30" s="91"/>
    </row>
    <row r="31" spans="1:10" ht="12.75">
      <c r="A31" s="91"/>
      <c r="B31" s="91" t="s">
        <v>20</v>
      </c>
      <c r="C31" s="91"/>
      <c r="D31" s="91"/>
      <c r="E31" s="91"/>
      <c r="F31" s="203">
        <v>56</v>
      </c>
      <c r="G31" s="91" t="s">
        <v>4</v>
      </c>
      <c r="H31" s="91"/>
      <c r="I31" s="91"/>
      <c r="J31" s="91"/>
    </row>
    <row r="32" spans="1:10" ht="12.75">
      <c r="A32" s="91"/>
      <c r="B32" s="91" t="s">
        <v>112</v>
      </c>
      <c r="C32" s="91"/>
      <c r="D32" s="91"/>
      <c r="E32" s="158"/>
      <c r="F32" s="203">
        <v>24.9</v>
      </c>
      <c r="G32" s="91" t="s">
        <v>4</v>
      </c>
      <c r="H32" s="91"/>
      <c r="I32" s="91"/>
      <c r="J32" s="91"/>
    </row>
    <row r="33" spans="1:10" ht="12.75">
      <c r="A33" s="91"/>
      <c r="B33" s="91" t="s">
        <v>22</v>
      </c>
      <c r="C33" s="91"/>
      <c r="D33" s="91"/>
      <c r="E33" s="158"/>
      <c r="F33" s="203">
        <v>4.8</v>
      </c>
      <c r="G33" s="91" t="s">
        <v>4</v>
      </c>
      <c r="H33" s="91"/>
      <c r="I33" s="91"/>
      <c r="J33" s="91"/>
    </row>
    <row r="34" spans="1:10" ht="12.75">
      <c r="A34" s="91"/>
      <c r="B34" s="91" t="s">
        <v>119</v>
      </c>
      <c r="C34" s="91"/>
      <c r="D34" s="91"/>
      <c r="E34" s="158"/>
      <c r="F34" s="203">
        <v>12</v>
      </c>
      <c r="G34" s="91" t="s">
        <v>4</v>
      </c>
      <c r="H34" s="91"/>
      <c r="I34" s="91"/>
      <c r="J34" s="91"/>
    </row>
    <row r="35" spans="1:10" ht="12.75">
      <c r="A35" s="91"/>
      <c r="B35" s="18" t="s">
        <v>237</v>
      </c>
      <c r="C35" s="91"/>
      <c r="D35" s="91"/>
      <c r="E35" s="155"/>
      <c r="F35" s="203">
        <v>29</v>
      </c>
      <c r="G35" s="91" t="s">
        <v>4</v>
      </c>
      <c r="H35" s="91"/>
      <c r="I35" s="91"/>
      <c r="J35" s="91"/>
    </row>
    <row r="36" spans="1:10" ht="12.75">
      <c r="A36" s="91"/>
      <c r="B36" s="137" t="s">
        <v>269</v>
      </c>
      <c r="C36" s="137"/>
      <c r="D36" s="137"/>
      <c r="E36" s="155"/>
      <c r="F36" s="202">
        <v>6</v>
      </c>
      <c r="G36" s="91" t="s">
        <v>4</v>
      </c>
      <c r="H36" s="91"/>
      <c r="I36" s="91"/>
      <c r="J36" s="91"/>
    </row>
    <row r="37" spans="1:10" ht="12.75">
      <c r="A37" s="91"/>
      <c r="B37" s="236" t="s">
        <v>238</v>
      </c>
      <c r="C37" s="236"/>
      <c r="D37" s="236"/>
      <c r="E37" s="155"/>
      <c r="F37" s="203">
        <v>26.6</v>
      </c>
      <c r="G37" s="91" t="s">
        <v>4</v>
      </c>
      <c r="H37" s="91"/>
      <c r="I37" s="91"/>
      <c r="J37" s="91"/>
    </row>
    <row r="38" spans="1:10" ht="12.75">
      <c r="A38" s="91"/>
      <c r="B38" s="140" t="s">
        <v>21</v>
      </c>
      <c r="C38" s="140"/>
      <c r="D38" s="140"/>
      <c r="E38" s="155"/>
      <c r="F38" s="203">
        <v>10</v>
      </c>
      <c r="G38" s="91" t="s">
        <v>4</v>
      </c>
      <c r="H38" s="91"/>
      <c r="I38" s="91"/>
      <c r="J38" s="91"/>
    </row>
    <row r="39" spans="1:10" ht="12.75">
      <c r="A39" s="91"/>
      <c r="B39" s="91" t="s">
        <v>115</v>
      </c>
      <c r="C39" s="91"/>
      <c r="D39" s="91"/>
      <c r="E39" s="155"/>
      <c r="F39" s="208">
        <v>6.6</v>
      </c>
      <c r="G39" s="91" t="s">
        <v>4</v>
      </c>
      <c r="H39" s="91"/>
      <c r="I39" s="91"/>
      <c r="J39" s="91"/>
    </row>
    <row r="40" spans="1:10" ht="12.75">
      <c r="A40" s="91"/>
      <c r="B40" s="91" t="s">
        <v>121</v>
      </c>
      <c r="C40" s="91"/>
      <c r="D40" s="91"/>
      <c r="E40" s="155"/>
      <c r="F40" s="203">
        <v>5</v>
      </c>
      <c r="G40" s="91" t="s">
        <v>4</v>
      </c>
      <c r="H40" s="91"/>
      <c r="I40" s="91"/>
      <c r="J40" s="91"/>
    </row>
    <row r="41" spans="1:10" ht="12.75">
      <c r="A41" s="91"/>
      <c r="B41" s="91" t="s">
        <v>120</v>
      </c>
      <c r="C41" s="91"/>
      <c r="D41" s="91"/>
      <c r="E41" s="155"/>
      <c r="F41" s="203">
        <v>5</v>
      </c>
      <c r="G41" s="91" t="s">
        <v>4</v>
      </c>
      <c r="H41" s="91"/>
      <c r="I41" s="91"/>
      <c r="J41" s="91"/>
    </row>
    <row r="42" spans="1:10" ht="12.75">
      <c r="A42" s="91"/>
      <c r="B42" s="237" t="s">
        <v>241</v>
      </c>
      <c r="C42" s="237"/>
      <c r="D42" s="237"/>
      <c r="E42" s="237"/>
      <c r="F42" s="203">
        <v>27</v>
      </c>
      <c r="G42" s="91" t="s">
        <v>4</v>
      </c>
      <c r="H42" s="91"/>
      <c r="I42" s="91"/>
      <c r="J42" s="91"/>
    </row>
    <row r="43" spans="1:10" ht="15.75" customHeight="1">
      <c r="A43" s="91"/>
      <c r="B43" s="236" t="s">
        <v>253</v>
      </c>
      <c r="C43" s="236"/>
      <c r="D43" s="91"/>
      <c r="E43" s="155"/>
      <c r="F43" s="203">
        <v>2</v>
      </c>
      <c r="G43" s="91" t="s">
        <v>4</v>
      </c>
      <c r="H43" s="91"/>
      <c r="I43" s="91"/>
      <c r="J43" s="91"/>
    </row>
    <row r="44" spans="1:10" ht="12.75">
      <c r="A44" s="91"/>
      <c r="B44" s="236"/>
      <c r="C44" s="236"/>
      <c r="D44" s="91"/>
      <c r="E44" s="155"/>
      <c r="F44" s="155"/>
      <c r="G44" s="91"/>
      <c r="H44" s="91"/>
      <c r="I44" s="91"/>
      <c r="J44" s="91"/>
    </row>
    <row r="45" spans="1:10" ht="12.75">
      <c r="A45" s="91"/>
      <c r="B45" s="19" t="s">
        <v>23</v>
      </c>
      <c r="C45" s="91"/>
      <c r="D45" s="23"/>
      <c r="E45" s="23">
        <f>SUM(E46:E62)</f>
        <v>418.1</v>
      </c>
      <c r="F45" s="19" t="s">
        <v>4</v>
      </c>
      <c r="G45" s="91"/>
      <c r="H45" s="91"/>
      <c r="I45" s="91"/>
      <c r="J45" s="91"/>
    </row>
    <row r="46" spans="1:10" ht="12.75">
      <c r="A46" s="91"/>
      <c r="B46" s="91" t="s">
        <v>24</v>
      </c>
      <c r="C46" s="91"/>
      <c r="D46" s="148"/>
      <c r="E46" s="201">
        <v>64.1</v>
      </c>
      <c r="F46" s="91" t="s">
        <v>4</v>
      </c>
      <c r="G46" s="91"/>
      <c r="H46" s="91"/>
      <c r="I46" s="91"/>
      <c r="J46" s="91"/>
    </row>
    <row r="47" spans="1:10" ht="12.75">
      <c r="A47" s="91"/>
      <c r="B47" s="91" t="s">
        <v>113</v>
      </c>
      <c r="C47" s="91"/>
      <c r="D47" s="148"/>
      <c r="E47" s="201">
        <v>2.9</v>
      </c>
      <c r="F47" s="91" t="s">
        <v>4</v>
      </c>
      <c r="G47" s="91"/>
      <c r="H47" s="91"/>
      <c r="I47" s="91"/>
      <c r="J47" s="91"/>
    </row>
    <row r="48" spans="1:10" ht="12.75">
      <c r="A48" s="91"/>
      <c r="B48" s="91" t="s">
        <v>114</v>
      </c>
      <c r="C48" s="91"/>
      <c r="D48" s="148"/>
      <c r="E48" s="204">
        <v>3.9</v>
      </c>
      <c r="F48" s="91" t="s">
        <v>4</v>
      </c>
      <c r="G48" s="91"/>
      <c r="H48" s="91"/>
      <c r="I48" s="91"/>
      <c r="J48" s="91"/>
    </row>
    <row r="49" spans="1:10" ht="12.75">
      <c r="A49" s="91"/>
      <c r="B49" s="91" t="s">
        <v>25</v>
      </c>
      <c r="C49" s="91"/>
      <c r="D49" s="91"/>
      <c r="E49" s="203">
        <v>0.9</v>
      </c>
      <c r="F49" s="156" t="s">
        <v>4</v>
      </c>
      <c r="G49" s="140" t="s">
        <v>130</v>
      </c>
      <c r="H49" s="91"/>
      <c r="I49" s="91"/>
      <c r="J49" s="91"/>
    </row>
    <row r="50" spans="1:10" ht="12.75">
      <c r="A50" s="91"/>
      <c r="B50" s="91" t="s">
        <v>131</v>
      </c>
      <c r="C50" s="91"/>
      <c r="D50" s="91"/>
      <c r="E50" s="203">
        <v>4.3</v>
      </c>
      <c r="F50" s="156" t="s">
        <v>4</v>
      </c>
      <c r="G50" s="91" t="s">
        <v>132</v>
      </c>
      <c r="H50" s="91"/>
      <c r="I50" s="91"/>
      <c r="J50" s="91"/>
    </row>
    <row r="51" spans="1:10" ht="12.75">
      <c r="A51" s="91"/>
      <c r="B51" s="91" t="s">
        <v>26</v>
      </c>
      <c r="C51" s="91"/>
      <c r="D51" s="91"/>
      <c r="E51" s="203">
        <v>18.9</v>
      </c>
      <c r="F51" s="156" t="s">
        <v>4</v>
      </c>
      <c r="G51" s="91" t="s">
        <v>129</v>
      </c>
      <c r="H51" s="91"/>
      <c r="I51" s="91"/>
      <c r="J51" s="91"/>
    </row>
    <row r="52" spans="1:10" ht="12.75">
      <c r="A52" s="91"/>
      <c r="B52" s="91" t="s">
        <v>27</v>
      </c>
      <c r="C52" s="91"/>
      <c r="D52" s="91"/>
      <c r="E52" s="202">
        <f>9-2.2</f>
        <v>6.8</v>
      </c>
      <c r="F52" s="91" t="s">
        <v>4</v>
      </c>
      <c r="G52" s="91"/>
      <c r="H52" s="91"/>
      <c r="I52" s="91"/>
      <c r="J52" s="91"/>
    </row>
    <row r="53" spans="1:10" ht="12.75">
      <c r="A53" s="91"/>
      <c r="B53" s="91" t="s">
        <v>28</v>
      </c>
      <c r="C53" s="91"/>
      <c r="D53" s="91"/>
      <c r="E53" s="203">
        <v>5.8</v>
      </c>
      <c r="F53" s="156" t="s">
        <v>4</v>
      </c>
      <c r="G53" s="91"/>
      <c r="H53" s="91"/>
      <c r="I53" s="91"/>
      <c r="J53" s="91"/>
    </row>
    <row r="54" spans="1:10" ht="12.75">
      <c r="A54" s="91"/>
      <c r="B54" s="91" t="s">
        <v>29</v>
      </c>
      <c r="C54" s="91"/>
      <c r="D54" s="91"/>
      <c r="E54" s="203">
        <v>1.7</v>
      </c>
      <c r="F54" s="156" t="s">
        <v>4</v>
      </c>
      <c r="G54" s="91"/>
      <c r="H54" s="91"/>
      <c r="I54" s="91"/>
      <c r="J54" s="91"/>
    </row>
    <row r="55" spans="1:10" ht="12.75">
      <c r="A55" s="91"/>
      <c r="B55" s="91" t="s">
        <v>75</v>
      </c>
      <c r="C55" s="91"/>
      <c r="D55" s="91"/>
      <c r="E55" s="203">
        <v>1.9</v>
      </c>
      <c r="F55" s="156" t="s">
        <v>4</v>
      </c>
      <c r="G55" s="91"/>
      <c r="H55" s="91"/>
      <c r="I55" s="91"/>
      <c r="J55" s="91"/>
    </row>
    <row r="56" spans="1:10" ht="12.75">
      <c r="A56" s="91"/>
      <c r="B56" s="91" t="s">
        <v>30</v>
      </c>
      <c r="C56" s="91"/>
      <c r="D56" s="91"/>
      <c r="E56" s="204">
        <v>8.3</v>
      </c>
      <c r="F56" s="91" t="s">
        <v>4</v>
      </c>
      <c r="G56" s="91"/>
      <c r="H56" s="91"/>
      <c r="I56" s="91"/>
      <c r="J56" s="91"/>
    </row>
    <row r="57" spans="1:10" ht="12.75">
      <c r="A57" s="91"/>
      <c r="B57" s="91" t="s">
        <v>31</v>
      </c>
      <c r="C57" s="91"/>
      <c r="D57" s="91"/>
      <c r="E57" s="202">
        <v>8.3</v>
      </c>
      <c r="F57" s="91" t="s">
        <v>4</v>
      </c>
      <c r="G57" s="91"/>
      <c r="H57" s="91"/>
      <c r="I57" s="91"/>
      <c r="J57" s="91"/>
    </row>
    <row r="58" spans="1:10" ht="12.75">
      <c r="A58" s="91"/>
      <c r="B58" s="91" t="s">
        <v>32</v>
      </c>
      <c r="C58" s="91"/>
      <c r="D58" s="148"/>
      <c r="E58" s="203">
        <v>10.3</v>
      </c>
      <c r="F58" s="91" t="s">
        <v>4</v>
      </c>
      <c r="G58" s="91"/>
      <c r="H58" s="91"/>
      <c r="I58" s="91"/>
      <c r="J58" s="91"/>
    </row>
    <row r="59" spans="1:10" ht="12.75">
      <c r="A59" s="91"/>
      <c r="B59" s="242" t="s">
        <v>230</v>
      </c>
      <c r="C59" s="243"/>
      <c r="D59" s="205"/>
      <c r="E59" s="206">
        <v>186.4</v>
      </c>
      <c r="F59" s="91" t="s">
        <v>4</v>
      </c>
      <c r="G59" s="91"/>
      <c r="H59" s="91"/>
      <c r="I59" s="91"/>
      <c r="J59" s="91"/>
    </row>
    <row r="60" spans="1:10" ht="12.75">
      <c r="A60" s="91"/>
      <c r="B60" s="91" t="s">
        <v>33</v>
      </c>
      <c r="C60" s="91"/>
      <c r="D60" s="158"/>
      <c r="E60" s="204">
        <v>1.6</v>
      </c>
      <c r="F60" s="91" t="s">
        <v>4</v>
      </c>
      <c r="G60" s="91"/>
      <c r="H60" s="91"/>
      <c r="I60" s="91"/>
      <c r="J60" s="91"/>
    </row>
    <row r="61" spans="1:10" ht="12.75">
      <c r="A61" s="91"/>
      <c r="B61" s="91" t="s">
        <v>252</v>
      </c>
      <c r="C61" s="91"/>
      <c r="D61" s="148"/>
      <c r="E61" s="200">
        <v>87</v>
      </c>
      <c r="F61" s="91" t="s">
        <v>4</v>
      </c>
      <c r="G61" s="91"/>
      <c r="H61" s="91"/>
      <c r="I61" s="91"/>
      <c r="J61" s="91"/>
    </row>
    <row r="62" spans="1:10" ht="30" customHeight="1">
      <c r="A62" s="91"/>
      <c r="B62" s="228" t="s">
        <v>255</v>
      </c>
      <c r="C62" s="228"/>
      <c r="D62" s="228"/>
      <c r="E62" s="200">
        <v>5</v>
      </c>
      <c r="F62" s="91" t="s">
        <v>4</v>
      </c>
      <c r="G62" s="91"/>
      <c r="H62" s="91"/>
      <c r="I62" s="91"/>
      <c r="J62" s="91"/>
    </row>
    <row r="63" spans="1:10" ht="12.75">
      <c r="A63" s="91"/>
      <c r="B63" s="19" t="s">
        <v>34</v>
      </c>
      <c r="C63" s="19"/>
      <c r="D63" s="162">
        <f>SUM(D64:D68)</f>
        <v>136.6</v>
      </c>
      <c r="E63" s="19" t="s">
        <v>4</v>
      </c>
      <c r="F63" s="91"/>
      <c r="G63" s="91"/>
      <c r="H63" s="91"/>
      <c r="I63" s="91"/>
      <c r="J63" s="91"/>
    </row>
    <row r="64" spans="1:10" ht="12.75">
      <c r="A64" s="91"/>
      <c r="B64" s="91" t="s">
        <v>35</v>
      </c>
      <c r="C64" s="91"/>
      <c r="D64" s="203">
        <v>7.6</v>
      </c>
      <c r="E64" s="91" t="s">
        <v>4</v>
      </c>
      <c r="F64" s="91"/>
      <c r="G64" s="91"/>
      <c r="H64" s="91"/>
      <c r="I64" s="91"/>
      <c r="J64" s="91"/>
    </row>
    <row r="65" spans="1:10" ht="12.75">
      <c r="A65" s="91"/>
      <c r="B65" s="91" t="s">
        <v>36</v>
      </c>
      <c r="C65" s="91"/>
      <c r="D65" s="203">
        <v>2</v>
      </c>
      <c r="E65" s="91" t="s">
        <v>4</v>
      </c>
      <c r="F65" s="91"/>
      <c r="G65" s="91"/>
      <c r="H65" s="91"/>
      <c r="I65" s="91"/>
      <c r="J65" s="91"/>
    </row>
    <row r="66" spans="1:10" ht="12.75">
      <c r="A66" s="91"/>
      <c r="B66" s="91" t="s">
        <v>46</v>
      </c>
      <c r="C66" s="91"/>
      <c r="D66" s="203">
        <v>26.4</v>
      </c>
      <c r="E66" s="91" t="s">
        <v>4</v>
      </c>
      <c r="F66" s="91"/>
      <c r="G66" s="91"/>
      <c r="H66" s="91"/>
      <c r="I66" s="91"/>
      <c r="J66" s="91"/>
    </row>
    <row r="67" spans="1:10" ht="12.75">
      <c r="A67" s="91"/>
      <c r="B67" s="91" t="s">
        <v>47</v>
      </c>
      <c r="C67" s="91"/>
      <c r="D67" s="203">
        <v>100.1</v>
      </c>
      <c r="E67" s="91" t="s">
        <v>4</v>
      </c>
      <c r="F67" s="91"/>
      <c r="G67" s="91"/>
      <c r="H67" s="91"/>
      <c r="I67" s="91"/>
      <c r="J67" s="91"/>
    </row>
    <row r="68" spans="1:10" ht="25.5" customHeight="1">
      <c r="A68" s="91"/>
      <c r="B68" s="243" t="s">
        <v>110</v>
      </c>
      <c r="C68" s="243"/>
      <c r="D68" s="203">
        <v>0.5</v>
      </c>
      <c r="E68" s="91" t="s">
        <v>4</v>
      </c>
      <c r="F68" s="91"/>
      <c r="G68" s="91"/>
      <c r="H68" s="91"/>
      <c r="I68" s="91"/>
      <c r="J68" s="91"/>
    </row>
    <row r="69" spans="1:10" ht="12.75">
      <c r="A69" s="91"/>
      <c r="B69" s="19" t="s">
        <v>37</v>
      </c>
      <c r="C69" s="19"/>
      <c r="D69" s="19"/>
      <c r="E69" s="146"/>
      <c r="F69" s="91"/>
      <c r="G69" s="23">
        <f>G70</f>
        <v>0</v>
      </c>
      <c r="H69" s="19" t="s">
        <v>4</v>
      </c>
      <c r="I69" s="91"/>
      <c r="J69" s="91"/>
    </row>
    <row r="70" spans="1:10" ht="12.75">
      <c r="A70" s="91"/>
      <c r="B70" s="236"/>
      <c r="C70" s="236"/>
      <c r="D70" s="236"/>
      <c r="E70" s="146"/>
      <c r="F70" s="91"/>
      <c r="G70" s="148"/>
      <c r="H70" s="91" t="s">
        <v>4</v>
      </c>
      <c r="I70" s="91"/>
      <c r="J70" s="91"/>
    </row>
    <row r="71" spans="1:10" ht="12.75">
      <c r="A71" s="91"/>
      <c r="B71" s="19" t="s">
        <v>38</v>
      </c>
      <c r="C71" s="91"/>
      <c r="D71" s="91"/>
      <c r="E71" s="91"/>
      <c r="F71" s="23">
        <f>E72+H124+H125+I126+I127+I128+H122+H123+H121</f>
        <v>895.6824111669</v>
      </c>
      <c r="G71" s="180" t="s">
        <v>4</v>
      </c>
      <c r="H71" s="91"/>
      <c r="I71" s="91"/>
      <c r="J71" s="91"/>
    </row>
    <row r="72" spans="1:10" ht="12.75">
      <c r="A72" s="91"/>
      <c r="B72" s="171" t="s">
        <v>151</v>
      </c>
      <c r="C72" s="91"/>
      <c r="D72" s="91"/>
      <c r="E72" s="197">
        <f>D101+G110+D86+G120</f>
        <v>471.9824111668999</v>
      </c>
      <c r="F72" s="148" t="s">
        <v>4</v>
      </c>
      <c r="G72" s="180"/>
      <c r="H72" s="91"/>
      <c r="I72" s="91"/>
      <c r="J72" s="91"/>
    </row>
    <row r="73" spans="1:10" ht="12.75">
      <c r="A73" s="91"/>
      <c r="B73" s="91" t="s">
        <v>155</v>
      </c>
      <c r="C73" s="91" t="s">
        <v>159</v>
      </c>
      <c r="D73" s="91"/>
      <c r="E73" s="91"/>
      <c r="F73" s="23"/>
      <c r="G73" s="19"/>
      <c r="H73" s="91"/>
      <c r="I73" s="91"/>
      <c r="J73" s="91"/>
    </row>
    <row r="74" spans="1:10" ht="12.75">
      <c r="A74" s="91"/>
      <c r="B74" s="91" t="s">
        <v>139</v>
      </c>
      <c r="C74" s="91"/>
      <c r="D74" s="91"/>
      <c r="E74" s="91"/>
      <c r="F74" s="23"/>
      <c r="G74" s="141">
        <v>121.4</v>
      </c>
      <c r="H74" s="91"/>
      <c r="I74" s="91"/>
      <c r="J74" s="91"/>
    </row>
    <row r="75" spans="1:10" ht="12.75">
      <c r="A75" s="91"/>
      <c r="B75" s="91" t="s">
        <v>140</v>
      </c>
      <c r="C75" s="91"/>
      <c r="D75" s="91"/>
      <c r="E75" s="91"/>
      <c r="F75" s="23"/>
      <c r="G75" s="141">
        <v>170</v>
      </c>
      <c r="H75" s="91"/>
      <c r="I75" s="91"/>
      <c r="J75" s="91"/>
    </row>
    <row r="76" spans="1:10" ht="12.75">
      <c r="A76" s="91"/>
      <c r="B76" s="91" t="s">
        <v>135</v>
      </c>
      <c r="C76" s="91"/>
      <c r="D76" s="91" t="s">
        <v>136</v>
      </c>
      <c r="E76" s="91"/>
      <c r="F76" s="173">
        <v>77</v>
      </c>
      <c r="G76" s="91" t="s">
        <v>141</v>
      </c>
      <c r="H76" s="91"/>
      <c r="I76" s="174">
        <v>93</v>
      </c>
      <c r="J76" s="91"/>
    </row>
    <row r="77" spans="1:10" ht="12.75">
      <c r="A77" s="91"/>
      <c r="B77" s="91" t="s">
        <v>142</v>
      </c>
      <c r="C77" s="91"/>
      <c r="D77" s="141">
        <f>G74*G75</f>
        <v>20638</v>
      </c>
      <c r="E77" s="91"/>
      <c r="F77" s="23"/>
      <c r="G77" s="19"/>
      <c r="H77" s="91"/>
      <c r="I77" s="91"/>
      <c r="J77" s="91"/>
    </row>
    <row r="78" spans="1:10" ht="12.75">
      <c r="A78" s="91"/>
      <c r="B78" s="91" t="s">
        <v>134</v>
      </c>
      <c r="C78" s="91"/>
      <c r="D78" s="91" t="s">
        <v>137</v>
      </c>
      <c r="E78" s="91"/>
      <c r="F78" s="175">
        <v>33.5</v>
      </c>
      <c r="G78" s="148" t="s">
        <v>138</v>
      </c>
      <c r="H78" s="91"/>
      <c r="I78" s="174">
        <v>23.9</v>
      </c>
      <c r="J78" s="91"/>
    </row>
    <row r="79" spans="1:10" ht="12.75">
      <c r="A79" s="91"/>
      <c r="B79" s="91" t="s">
        <v>143</v>
      </c>
      <c r="C79" s="91"/>
      <c r="D79" s="176">
        <f>F80+I80</f>
        <v>5829.870800000001</v>
      </c>
      <c r="E79" s="91"/>
      <c r="F79" s="148"/>
      <c r="G79" s="19"/>
      <c r="H79" s="91"/>
      <c r="I79" s="91"/>
      <c r="J79" s="91"/>
    </row>
    <row r="80" spans="1:10" ht="12.75">
      <c r="A80" s="91"/>
      <c r="B80" s="91"/>
      <c r="C80" s="91"/>
      <c r="D80" s="91" t="s">
        <v>144</v>
      </c>
      <c r="E80" s="91"/>
      <c r="F80" s="175">
        <f>G74*F78/100*F76</f>
        <v>3131.5130000000004</v>
      </c>
      <c r="G80" s="91" t="s">
        <v>145</v>
      </c>
      <c r="H80" s="91"/>
      <c r="I80" s="174">
        <f>G74*I78/100*I76</f>
        <v>2698.3578</v>
      </c>
      <c r="J80" s="91"/>
    </row>
    <row r="81" spans="1:10" ht="12.75">
      <c r="A81" s="91"/>
      <c r="B81" s="91" t="s">
        <v>146</v>
      </c>
      <c r="C81" s="91"/>
      <c r="D81" s="175">
        <f>D79/100*2.1</f>
        <v>122.42728680000002</v>
      </c>
      <c r="E81" s="91"/>
      <c r="F81" s="23"/>
      <c r="G81" s="91"/>
      <c r="H81" s="91"/>
      <c r="I81" s="91"/>
      <c r="J81" s="91"/>
    </row>
    <row r="82" spans="1:10" ht="12.75">
      <c r="A82" s="91"/>
      <c r="B82" s="91" t="s">
        <v>147</v>
      </c>
      <c r="C82" s="91"/>
      <c r="D82" s="174">
        <v>31.9</v>
      </c>
      <c r="E82" s="91"/>
      <c r="F82" s="23"/>
      <c r="G82" s="91"/>
      <c r="H82" s="91"/>
      <c r="I82" s="91"/>
      <c r="J82" s="91"/>
    </row>
    <row r="83" spans="1:10" ht="12.75">
      <c r="A83" s="91"/>
      <c r="B83" s="91" t="s">
        <v>148</v>
      </c>
      <c r="C83" s="91"/>
      <c r="D83" s="174">
        <v>178.5</v>
      </c>
      <c r="E83" s="91"/>
      <c r="F83" s="91"/>
      <c r="G83" s="91"/>
      <c r="H83" s="91"/>
      <c r="I83" s="25"/>
      <c r="J83" s="91"/>
    </row>
    <row r="84" spans="1:10" ht="12.75">
      <c r="A84" s="91"/>
      <c r="B84" s="91" t="s">
        <v>149</v>
      </c>
      <c r="C84" s="91"/>
      <c r="D84" s="175">
        <f>D79*D82/1000</f>
        <v>185.97287852</v>
      </c>
      <c r="E84" s="91"/>
      <c r="F84" s="91"/>
      <c r="G84" s="91"/>
      <c r="H84" s="91"/>
      <c r="I84" s="25"/>
      <c r="J84" s="91"/>
    </row>
    <row r="85" spans="1:10" ht="12.75">
      <c r="A85" s="91"/>
      <c r="B85" s="91" t="s">
        <v>150</v>
      </c>
      <c r="C85" s="91"/>
      <c r="D85" s="175">
        <f>D81*D83/1000</f>
        <v>21.853270693800006</v>
      </c>
      <c r="E85" s="91"/>
      <c r="F85" s="91"/>
      <c r="G85" s="91"/>
      <c r="H85" s="91"/>
      <c r="I85" s="25"/>
      <c r="J85" s="91"/>
    </row>
    <row r="86" spans="1:10" ht="12.75">
      <c r="A86" s="91"/>
      <c r="B86" s="171" t="s">
        <v>157</v>
      </c>
      <c r="C86" s="91"/>
      <c r="D86" s="199">
        <f>D84+D85</f>
        <v>207.8261492138</v>
      </c>
      <c r="E86" s="23"/>
      <c r="F86" s="148"/>
      <c r="G86" s="19"/>
      <c r="H86" s="91"/>
      <c r="I86" s="91"/>
      <c r="J86" s="91"/>
    </row>
    <row r="87" spans="1:10" ht="12.75">
      <c r="A87" s="91"/>
      <c r="B87" s="171"/>
      <c r="C87" s="91"/>
      <c r="D87" s="91"/>
      <c r="E87" s="23"/>
      <c r="F87" s="148"/>
      <c r="G87" s="19"/>
      <c r="H87" s="91"/>
      <c r="I87" s="91"/>
      <c r="J87" s="91"/>
    </row>
    <row r="88" spans="1:10" ht="12.75">
      <c r="A88" s="91"/>
      <c r="B88" s="91" t="s">
        <v>155</v>
      </c>
      <c r="C88" s="91" t="s">
        <v>156</v>
      </c>
      <c r="D88" s="91"/>
      <c r="E88" s="91"/>
      <c r="F88" s="23"/>
      <c r="G88" s="19"/>
      <c r="H88" s="91"/>
      <c r="I88" s="91"/>
      <c r="J88" s="91"/>
    </row>
    <row r="89" spans="1:10" ht="12.75">
      <c r="A89" s="91"/>
      <c r="B89" s="91" t="s">
        <v>139</v>
      </c>
      <c r="C89" s="91"/>
      <c r="D89" s="91"/>
      <c r="E89" s="91"/>
      <c r="F89" s="23"/>
      <c r="G89" s="141">
        <v>122.6</v>
      </c>
      <c r="H89" s="91"/>
      <c r="I89" s="91"/>
      <c r="J89" s="91"/>
    </row>
    <row r="90" spans="1:10" ht="12.75">
      <c r="A90" s="91"/>
      <c r="B90" s="91" t="s">
        <v>140</v>
      </c>
      <c r="C90" s="91"/>
      <c r="D90" s="91"/>
      <c r="E90" s="91"/>
      <c r="F90" s="23"/>
      <c r="G90" s="141">
        <v>170</v>
      </c>
      <c r="H90" s="91"/>
      <c r="I90" s="91"/>
      <c r="J90" s="91"/>
    </row>
    <row r="91" spans="1:10" ht="12.75">
      <c r="A91" s="91"/>
      <c r="B91" s="91" t="s">
        <v>135</v>
      </c>
      <c r="C91" s="91"/>
      <c r="D91" s="91" t="s">
        <v>136</v>
      </c>
      <c r="E91" s="91"/>
      <c r="F91" s="173">
        <v>77</v>
      </c>
      <c r="G91" s="91" t="s">
        <v>141</v>
      </c>
      <c r="H91" s="91"/>
      <c r="I91" s="174">
        <v>93</v>
      </c>
      <c r="J91" s="91"/>
    </row>
    <row r="92" spans="1:10" ht="12.75">
      <c r="A92" s="91"/>
      <c r="B92" s="91" t="s">
        <v>142</v>
      </c>
      <c r="C92" s="91"/>
      <c r="D92" s="141">
        <f>G89*G90</f>
        <v>20842</v>
      </c>
      <c r="E92" s="91"/>
      <c r="F92" s="23"/>
      <c r="G92" s="19"/>
      <c r="H92" s="91"/>
      <c r="I92" s="91"/>
      <c r="J92" s="91"/>
    </row>
    <row r="93" spans="1:10" ht="12.75">
      <c r="A93" s="91"/>
      <c r="B93" s="91" t="s">
        <v>134</v>
      </c>
      <c r="C93" s="91"/>
      <c r="D93" s="91" t="s">
        <v>137</v>
      </c>
      <c r="E93" s="91"/>
      <c r="F93" s="175">
        <v>34.8</v>
      </c>
      <c r="G93" s="148" t="s">
        <v>138</v>
      </c>
      <c r="H93" s="91"/>
      <c r="I93" s="174">
        <v>32.5</v>
      </c>
      <c r="J93" s="91"/>
    </row>
    <row r="94" spans="1:10" ht="12.75">
      <c r="A94" s="91"/>
      <c r="B94" s="91" t="s">
        <v>143</v>
      </c>
      <c r="C94" s="91"/>
      <c r="D94" s="176">
        <f>F95+I95</f>
        <v>6990.774599999999</v>
      </c>
      <c r="E94" s="91"/>
      <c r="F94" s="148"/>
      <c r="G94" s="19"/>
      <c r="H94" s="91"/>
      <c r="I94" s="91"/>
      <c r="J94" s="91"/>
    </row>
    <row r="95" spans="1:10" ht="12.75">
      <c r="A95" s="91"/>
      <c r="B95" s="91"/>
      <c r="C95" s="91"/>
      <c r="D95" s="91" t="s">
        <v>144</v>
      </c>
      <c r="E95" s="91"/>
      <c r="F95" s="175">
        <f>G89*F93/100*F91</f>
        <v>3285.1895999999992</v>
      </c>
      <c r="G95" s="91" t="s">
        <v>145</v>
      </c>
      <c r="H95" s="91"/>
      <c r="I95" s="174">
        <f>G89*I93/100*I91</f>
        <v>3705.585</v>
      </c>
      <c r="J95" s="91"/>
    </row>
    <row r="96" spans="1:10" ht="12.75">
      <c r="A96" s="91"/>
      <c r="B96" s="91" t="s">
        <v>146</v>
      </c>
      <c r="C96" s="91"/>
      <c r="D96" s="175">
        <f>D94/100*2.1</f>
        <v>146.8062666</v>
      </c>
      <c r="E96" s="91"/>
      <c r="F96" s="23"/>
      <c r="G96" s="91"/>
      <c r="H96" s="91"/>
      <c r="I96" s="91"/>
      <c r="J96" s="91"/>
    </row>
    <row r="97" spans="1:10" ht="12.75">
      <c r="A97" s="91"/>
      <c r="B97" s="91" t="s">
        <v>147</v>
      </c>
      <c r="C97" s="91"/>
      <c r="D97" s="174">
        <v>31.9</v>
      </c>
      <c r="E97" s="91"/>
      <c r="F97" s="23"/>
      <c r="G97" s="91"/>
      <c r="H97" s="91"/>
      <c r="I97" s="91"/>
      <c r="J97" s="91"/>
    </row>
    <row r="98" spans="1:10" ht="12.75">
      <c r="A98" s="91"/>
      <c r="B98" s="91" t="s">
        <v>148</v>
      </c>
      <c r="C98" s="91"/>
      <c r="D98" s="174">
        <v>178.5</v>
      </c>
      <c r="E98" s="91"/>
      <c r="F98" s="91"/>
      <c r="G98" s="91"/>
      <c r="H98" s="91"/>
      <c r="I98" s="25"/>
      <c r="J98" s="91"/>
    </row>
    <row r="99" spans="1:10" ht="12.75">
      <c r="A99" s="91"/>
      <c r="B99" s="91" t="s">
        <v>149</v>
      </c>
      <c r="C99" s="91"/>
      <c r="D99" s="175">
        <f>D94*D97/1000</f>
        <v>223.00570973999996</v>
      </c>
      <c r="E99" s="91"/>
      <c r="F99" s="91"/>
      <c r="G99" s="91"/>
      <c r="H99" s="91"/>
      <c r="I99" s="25"/>
      <c r="J99" s="91"/>
    </row>
    <row r="100" spans="1:10" ht="12.75">
      <c r="A100" s="91"/>
      <c r="B100" s="91" t="s">
        <v>150</v>
      </c>
      <c r="C100" s="91"/>
      <c r="D100" s="175">
        <f>D96*D98/1000</f>
        <v>26.204918588099996</v>
      </c>
      <c r="E100" s="91"/>
      <c r="F100" s="91"/>
      <c r="G100" s="91"/>
      <c r="H100" s="91"/>
      <c r="I100" s="25"/>
      <c r="J100" s="91"/>
    </row>
    <row r="101" spans="1:10" ht="12.75">
      <c r="A101" s="91"/>
      <c r="B101" s="171" t="s">
        <v>157</v>
      </c>
      <c r="C101" s="91"/>
      <c r="D101" s="199">
        <f>D99+D100</f>
        <v>249.21062832809994</v>
      </c>
      <c r="E101" s="91"/>
      <c r="F101" s="91"/>
      <c r="G101" s="91"/>
      <c r="H101" s="91"/>
      <c r="I101" s="25"/>
      <c r="J101" s="91"/>
    </row>
    <row r="102" spans="1:10" ht="12.75">
      <c r="A102" s="91"/>
      <c r="B102" s="153" t="s">
        <v>245</v>
      </c>
      <c r="C102" s="137"/>
      <c r="D102" s="137"/>
      <c r="E102" s="137"/>
      <c r="F102" s="137"/>
      <c r="G102" s="137"/>
      <c r="H102" s="91"/>
      <c r="I102" s="25"/>
      <c r="J102" s="91"/>
    </row>
    <row r="103" spans="1:10" ht="12.75">
      <c r="A103" s="91"/>
      <c r="B103" s="137" t="s">
        <v>139</v>
      </c>
      <c r="C103" s="137"/>
      <c r="D103" s="139"/>
      <c r="E103" s="137"/>
      <c r="F103" s="137"/>
      <c r="G103" s="151">
        <v>70</v>
      </c>
      <c r="H103" s="91"/>
      <c r="I103" s="25"/>
      <c r="J103" s="91"/>
    </row>
    <row r="104" spans="1:10" ht="12.75">
      <c r="A104" s="91"/>
      <c r="B104" s="137" t="s">
        <v>246</v>
      </c>
      <c r="C104" s="137"/>
      <c r="D104" s="139"/>
      <c r="E104" s="137"/>
      <c r="F104" s="137"/>
      <c r="G104" s="151">
        <v>11</v>
      </c>
      <c r="H104" s="91"/>
      <c r="I104" s="25"/>
      <c r="J104" s="91"/>
    </row>
    <row r="105" spans="1:10" ht="12.75">
      <c r="A105" s="91"/>
      <c r="B105" s="137" t="s">
        <v>158</v>
      </c>
      <c r="C105" s="137"/>
      <c r="D105" s="137"/>
      <c r="E105" s="139"/>
      <c r="F105" s="137"/>
      <c r="G105" s="151">
        <f>G103*G104</f>
        <v>770</v>
      </c>
      <c r="H105" s="91"/>
      <c r="I105" s="25"/>
      <c r="J105" s="25"/>
    </row>
    <row r="106" spans="1:10" ht="12.75">
      <c r="A106" s="91"/>
      <c r="B106" s="137" t="s">
        <v>152</v>
      </c>
      <c r="C106" s="137"/>
      <c r="D106" s="137"/>
      <c r="E106" s="139"/>
      <c r="F106" s="137"/>
      <c r="G106" s="152">
        <f>G105/100*32.5</f>
        <v>250.25</v>
      </c>
      <c r="H106" s="91"/>
      <c r="I106" s="25"/>
      <c r="J106" s="25"/>
    </row>
    <row r="107" spans="1:10" ht="12.75">
      <c r="A107" s="91"/>
      <c r="B107" s="137" t="s">
        <v>146</v>
      </c>
      <c r="C107" s="137"/>
      <c r="D107" s="137"/>
      <c r="E107" s="139"/>
      <c r="F107" s="137"/>
      <c r="G107" s="152">
        <f>G106/100*2.1</f>
        <v>5.25525</v>
      </c>
      <c r="H107" s="91"/>
      <c r="I107" s="25"/>
      <c r="J107" s="25"/>
    </row>
    <row r="108" spans="1:10" ht="12.75">
      <c r="A108" s="91"/>
      <c r="B108" s="137" t="s">
        <v>153</v>
      </c>
      <c r="C108" s="137"/>
      <c r="D108" s="137"/>
      <c r="E108" s="139"/>
      <c r="F108" s="137"/>
      <c r="G108" s="152">
        <f>G106*31.9/1000</f>
        <v>7.982975</v>
      </c>
      <c r="H108" s="91"/>
      <c r="I108" s="25"/>
      <c r="J108" s="25"/>
    </row>
    <row r="109" spans="1:10" ht="12.75">
      <c r="A109" s="91"/>
      <c r="B109" s="137" t="s">
        <v>150</v>
      </c>
      <c r="C109" s="137"/>
      <c r="D109" s="137"/>
      <c r="E109" s="139"/>
      <c r="F109" s="137"/>
      <c r="G109" s="152">
        <f>G107*178.5/1000</f>
        <v>0.9380621250000001</v>
      </c>
      <c r="H109" s="91"/>
      <c r="I109" s="25"/>
      <c r="J109" s="25"/>
    </row>
    <row r="110" spans="1:10" ht="12.75">
      <c r="A110" s="91"/>
      <c r="B110" s="150" t="s">
        <v>154</v>
      </c>
      <c r="C110" s="137"/>
      <c r="D110" s="137"/>
      <c r="E110" s="139"/>
      <c r="F110" s="137"/>
      <c r="G110" s="198">
        <f>G108+G109</f>
        <v>8.921037125</v>
      </c>
      <c r="H110" s="91"/>
      <c r="I110" s="25"/>
      <c r="J110" s="25"/>
    </row>
    <row r="111" spans="1:10" ht="12.75">
      <c r="A111" s="91"/>
      <c r="B111" s="153" t="s">
        <v>247</v>
      </c>
      <c r="C111" s="137"/>
      <c r="D111" s="137"/>
      <c r="E111" s="137"/>
      <c r="F111" s="137"/>
      <c r="G111" s="137"/>
      <c r="H111" s="91"/>
      <c r="I111" s="25"/>
      <c r="J111" s="25"/>
    </row>
    <row r="112" spans="1:10" ht="12.75">
      <c r="A112" s="91"/>
      <c r="B112" s="137" t="s">
        <v>139</v>
      </c>
      <c r="C112" s="137"/>
      <c r="D112" s="139"/>
      <c r="E112" s="137"/>
      <c r="F112" s="137"/>
      <c r="G112" s="151">
        <v>60</v>
      </c>
      <c r="H112" s="91"/>
      <c r="I112" s="25"/>
      <c r="J112" s="25"/>
    </row>
    <row r="113" spans="1:10" ht="12.75">
      <c r="A113" s="91"/>
      <c r="B113" s="137" t="s">
        <v>248</v>
      </c>
      <c r="C113" s="137"/>
      <c r="D113" s="139"/>
      <c r="E113" s="137"/>
      <c r="F113" s="137"/>
      <c r="G113" s="151">
        <v>5</v>
      </c>
      <c r="H113" s="91"/>
      <c r="I113" s="25"/>
      <c r="J113" s="25"/>
    </row>
    <row r="114" spans="1:10" ht="12.75">
      <c r="A114" s="91"/>
      <c r="B114" s="137" t="s">
        <v>249</v>
      </c>
      <c r="C114" s="137"/>
      <c r="D114" s="139"/>
      <c r="E114" s="137"/>
      <c r="F114" s="137"/>
      <c r="G114" s="151">
        <v>220</v>
      </c>
      <c r="H114" s="91"/>
      <c r="I114" s="25"/>
      <c r="J114" s="25"/>
    </row>
    <row r="115" spans="1:10" ht="12.75">
      <c r="A115" s="91"/>
      <c r="B115" s="137" t="s">
        <v>158</v>
      </c>
      <c r="C115" s="137"/>
      <c r="D115" s="137"/>
      <c r="E115" s="139"/>
      <c r="F115" s="137"/>
      <c r="G115" s="151">
        <f>G112*G113+G114</f>
        <v>520</v>
      </c>
      <c r="H115" s="91"/>
      <c r="I115" s="25"/>
      <c r="J115" s="25"/>
    </row>
    <row r="116" spans="1:10" ht="12.75">
      <c r="A116" s="91"/>
      <c r="B116" s="137" t="s">
        <v>152</v>
      </c>
      <c r="C116" s="137"/>
      <c r="D116" s="137"/>
      <c r="E116" s="139"/>
      <c r="F116" s="137"/>
      <c r="G116" s="152">
        <f>G115/100*32.5</f>
        <v>169</v>
      </c>
      <c r="H116" s="91"/>
      <c r="I116" s="25"/>
      <c r="J116" s="25"/>
    </row>
    <row r="117" spans="1:10" ht="12.75">
      <c r="A117" s="91"/>
      <c r="B117" s="137" t="s">
        <v>146</v>
      </c>
      <c r="C117" s="137"/>
      <c r="D117" s="137"/>
      <c r="E117" s="139"/>
      <c r="F117" s="137"/>
      <c r="G117" s="152">
        <f>G116/100*2.1</f>
        <v>3.549</v>
      </c>
      <c r="H117" s="91"/>
      <c r="I117" s="25"/>
      <c r="J117" s="25"/>
    </row>
    <row r="118" spans="1:10" ht="12.75">
      <c r="A118" s="91"/>
      <c r="B118" s="137" t="s">
        <v>153</v>
      </c>
      <c r="C118" s="137"/>
      <c r="D118" s="137"/>
      <c r="E118" s="139"/>
      <c r="F118" s="137"/>
      <c r="G118" s="152">
        <f>G116*31.9/1000</f>
        <v>5.3911</v>
      </c>
      <c r="H118" s="91"/>
      <c r="I118" s="25"/>
      <c r="J118" s="25"/>
    </row>
    <row r="119" spans="1:10" ht="12.75">
      <c r="A119" s="91"/>
      <c r="B119" s="137" t="s">
        <v>150</v>
      </c>
      <c r="C119" s="137"/>
      <c r="D119" s="137"/>
      <c r="E119" s="139"/>
      <c r="F119" s="137"/>
      <c r="G119" s="152">
        <f>G117*178.5/1000</f>
        <v>0.6334965</v>
      </c>
      <c r="H119" s="91"/>
      <c r="I119" s="25"/>
      <c r="J119" s="25"/>
    </row>
    <row r="120" spans="1:10" ht="12.75">
      <c r="A120" s="91"/>
      <c r="B120" s="150" t="s">
        <v>250</v>
      </c>
      <c r="C120" s="137"/>
      <c r="D120" s="137"/>
      <c r="E120" s="139"/>
      <c r="F120" s="137"/>
      <c r="G120" s="198">
        <f>G118+G119</f>
        <v>6.0245964999999995</v>
      </c>
      <c r="H120" s="91"/>
      <c r="I120" s="25"/>
      <c r="J120" s="91"/>
    </row>
    <row r="121" spans="1:10" ht="12.75">
      <c r="A121" s="91"/>
      <c r="B121" s="91" t="s">
        <v>182</v>
      </c>
      <c r="C121" s="137"/>
      <c r="D121" s="137"/>
      <c r="E121" s="139"/>
      <c r="F121" s="137"/>
      <c r="G121" s="207"/>
      <c r="H121" s="202">
        <v>0</v>
      </c>
      <c r="I121" s="8" t="s">
        <v>4</v>
      </c>
      <c r="J121" s="91"/>
    </row>
    <row r="122" spans="1:10" ht="12.75">
      <c r="A122" s="91"/>
      <c r="B122" s="91" t="s">
        <v>183</v>
      </c>
      <c r="C122" s="91"/>
      <c r="D122" s="91"/>
      <c r="E122" s="91"/>
      <c r="F122" s="23"/>
      <c r="G122" s="180"/>
      <c r="H122" s="204">
        <v>2.7</v>
      </c>
      <c r="I122" s="25" t="s">
        <v>4</v>
      </c>
      <c r="J122" s="91"/>
    </row>
    <row r="123" spans="1:10" ht="12.75">
      <c r="A123" s="91"/>
      <c r="B123" s="15" t="s">
        <v>268</v>
      </c>
      <c r="C123" s="91"/>
      <c r="D123" s="91"/>
      <c r="E123" s="91"/>
      <c r="F123" s="23"/>
      <c r="G123" s="180"/>
      <c r="H123" s="204">
        <v>18.5</v>
      </c>
      <c r="I123" s="25" t="s">
        <v>4</v>
      </c>
      <c r="J123" s="91"/>
    </row>
    <row r="124" spans="1:10" ht="12.75">
      <c r="A124" s="91"/>
      <c r="B124" s="91" t="s">
        <v>41</v>
      </c>
      <c r="C124" s="91"/>
      <c r="D124" s="91"/>
      <c r="E124" s="91"/>
      <c r="F124" s="91"/>
      <c r="G124" s="91"/>
      <c r="H124" s="202">
        <v>30</v>
      </c>
      <c r="I124" s="25" t="s">
        <v>4</v>
      </c>
      <c r="J124" s="91"/>
    </row>
    <row r="125" spans="1:10" ht="12.75">
      <c r="A125" s="91"/>
      <c r="B125" s="91" t="s">
        <v>42</v>
      </c>
      <c r="C125" s="91"/>
      <c r="D125" s="91"/>
      <c r="E125" s="148"/>
      <c r="F125" s="91"/>
      <c r="G125" s="91"/>
      <c r="H125" s="202">
        <v>20</v>
      </c>
      <c r="I125" s="91" t="s">
        <v>4</v>
      </c>
      <c r="J125" s="91"/>
    </row>
    <row r="126" spans="1:10" ht="12.75">
      <c r="A126" s="91"/>
      <c r="B126" s="91" t="s">
        <v>43</v>
      </c>
      <c r="C126" s="91"/>
      <c r="D126" s="91"/>
      <c r="E126" s="158">
        <v>86</v>
      </c>
      <c r="F126" s="138" t="s">
        <v>244</v>
      </c>
      <c r="G126" s="91"/>
      <c r="H126" s="91"/>
      <c r="I126" s="197">
        <v>178.5</v>
      </c>
      <c r="J126" s="148" t="s">
        <v>4</v>
      </c>
    </row>
    <row r="127" spans="1:10" ht="12.75">
      <c r="A127" s="91"/>
      <c r="B127" s="91" t="s">
        <v>44</v>
      </c>
      <c r="C127" s="91"/>
      <c r="D127" s="158"/>
      <c r="E127" s="158">
        <v>73</v>
      </c>
      <c r="F127" s="137" t="s">
        <v>118</v>
      </c>
      <c r="G127" s="91"/>
      <c r="H127" s="91"/>
      <c r="I127" s="197">
        <v>76.1</v>
      </c>
      <c r="J127" s="148" t="s">
        <v>4</v>
      </c>
    </row>
    <row r="128" spans="1:10" ht="12.75">
      <c r="A128" s="91"/>
      <c r="B128" s="91" t="s">
        <v>81</v>
      </c>
      <c r="C128" s="91">
        <v>23.8</v>
      </c>
      <c r="D128" s="91" t="s">
        <v>83</v>
      </c>
      <c r="E128" s="91"/>
      <c r="F128" s="91"/>
      <c r="G128" s="91"/>
      <c r="H128" s="91"/>
      <c r="I128" s="197">
        <f>77.3+20.6</f>
        <v>97.9</v>
      </c>
      <c r="J128" s="91" t="s">
        <v>4</v>
      </c>
    </row>
    <row r="129" spans="1:10" ht="12.75">
      <c r="A129" s="91"/>
      <c r="B129" s="91"/>
      <c r="C129" s="91"/>
      <c r="D129" s="158"/>
      <c r="E129" s="91"/>
      <c r="F129" s="91"/>
      <c r="G129" s="91"/>
      <c r="H129" s="91"/>
      <c r="I129" s="179"/>
      <c r="J129" s="148" t="s">
        <v>4</v>
      </c>
    </row>
    <row r="130" spans="1:10" ht="15.75">
      <c r="A130" s="91"/>
      <c r="B130" s="149" t="s">
        <v>45</v>
      </c>
      <c r="C130" s="170"/>
      <c r="D130" s="177">
        <f>F11+F12+D14+E16+F25+E45+D63+G69+F71</f>
        <v>2172.3824111669</v>
      </c>
      <c r="E130" s="170" t="s">
        <v>4</v>
      </c>
      <c r="F130" s="148"/>
      <c r="G130" s="91"/>
      <c r="H130" s="91"/>
      <c r="I130" s="91"/>
      <c r="J130" s="91"/>
    </row>
    <row r="131" spans="1:10" ht="12.75">
      <c r="A131" s="91"/>
      <c r="B131" s="19"/>
      <c r="C131" s="91"/>
      <c r="D131" s="19"/>
      <c r="E131" s="91"/>
      <c r="F131" s="148"/>
      <c r="G131" s="91"/>
      <c r="H131" s="91"/>
      <c r="I131" s="91"/>
      <c r="J131" s="91"/>
    </row>
    <row r="132" spans="1:10" ht="39" customHeight="1">
      <c r="A132" s="244" t="s">
        <v>267</v>
      </c>
      <c r="B132" s="244"/>
      <c r="C132" s="244"/>
      <c r="D132" s="244"/>
      <c r="E132" s="244"/>
      <c r="F132" s="244"/>
      <c r="G132" s="244"/>
      <c r="H132" s="244"/>
      <c r="I132" s="244"/>
      <c r="J132" s="91"/>
    </row>
    <row r="133" spans="1:10" ht="12.75">
      <c r="A133" s="91"/>
      <c r="B133" s="19" t="s">
        <v>16</v>
      </c>
      <c r="C133" s="91"/>
      <c r="D133" s="202">
        <v>0</v>
      </c>
      <c r="E133" s="91" t="s">
        <v>4</v>
      </c>
      <c r="F133" s="91"/>
      <c r="G133" s="91"/>
      <c r="H133" s="91"/>
      <c r="I133" s="91"/>
      <c r="J133" s="91"/>
    </row>
    <row r="134" spans="1:10" ht="14.25" customHeight="1">
      <c r="A134" s="91"/>
      <c r="B134" s="149" t="s">
        <v>48</v>
      </c>
      <c r="C134" s="149"/>
      <c r="D134" s="178">
        <f>D133</f>
        <v>0</v>
      </c>
      <c r="E134" s="149" t="s">
        <v>4</v>
      </c>
      <c r="F134" s="91"/>
      <c r="G134" s="91"/>
      <c r="H134" s="91"/>
      <c r="I134" s="91"/>
      <c r="J134" s="91"/>
    </row>
    <row r="135" spans="1:10" ht="14.25" customHeight="1">
      <c r="A135" s="91"/>
      <c r="B135" s="149"/>
      <c r="C135" s="149"/>
      <c r="D135" s="178"/>
      <c r="E135" s="149"/>
      <c r="F135" s="91"/>
      <c r="G135" s="91"/>
      <c r="H135" s="91"/>
      <c r="I135" s="91"/>
      <c r="J135" s="91"/>
    </row>
    <row r="136" spans="1:10" ht="39" customHeight="1">
      <c r="A136" s="91"/>
      <c r="B136" s="246" t="s">
        <v>258</v>
      </c>
      <c r="C136" s="246"/>
      <c r="D136" s="246"/>
      <c r="E136" s="246"/>
      <c r="F136" s="246"/>
      <c r="G136" s="246"/>
      <c r="H136" s="246"/>
      <c r="I136" s="246"/>
      <c r="J136" s="91"/>
    </row>
    <row r="137" spans="1:10" ht="14.25" customHeight="1">
      <c r="A137" s="91"/>
      <c r="B137" s="19" t="s">
        <v>266</v>
      </c>
      <c r="C137" s="19"/>
      <c r="D137" s="23"/>
      <c r="E137" s="204">
        <v>23.2</v>
      </c>
      <c r="F137" s="18" t="s">
        <v>4</v>
      </c>
      <c r="G137" s="91"/>
      <c r="H137" s="91"/>
      <c r="I137" s="91"/>
      <c r="J137" s="91"/>
    </row>
    <row r="138" spans="1:10" ht="14.25" customHeight="1">
      <c r="A138" s="91"/>
      <c r="B138" s="19" t="s">
        <v>45</v>
      </c>
      <c r="C138" s="19"/>
      <c r="D138" s="23"/>
      <c r="E138" s="19">
        <f>E137</f>
        <v>23.2</v>
      </c>
      <c r="F138" s="18" t="s">
        <v>4</v>
      </c>
      <c r="G138" s="91"/>
      <c r="H138" s="91"/>
      <c r="I138" s="91"/>
      <c r="J138" s="91"/>
    </row>
    <row r="139" spans="1:10" ht="12.75">
      <c r="A139" s="91"/>
      <c r="B139" s="19"/>
      <c r="C139" s="91"/>
      <c r="D139" s="91"/>
      <c r="E139" s="91"/>
      <c r="F139" s="91"/>
      <c r="G139" s="91"/>
      <c r="H139" s="91"/>
      <c r="I139" s="91"/>
      <c r="J139" s="91"/>
    </row>
    <row r="140" spans="1:10" ht="74.25" customHeight="1">
      <c r="A140" s="245" t="s">
        <v>235</v>
      </c>
      <c r="B140" s="245"/>
      <c r="C140" s="245"/>
      <c r="D140" s="245"/>
      <c r="E140" s="245"/>
      <c r="F140" s="245"/>
      <c r="G140" s="245"/>
      <c r="H140" s="245"/>
      <c r="I140" s="245"/>
      <c r="J140" s="245"/>
    </row>
    <row r="141" spans="1:10" ht="17.25" customHeight="1">
      <c r="A141" s="245"/>
      <c r="B141" s="245"/>
      <c r="C141" s="245"/>
      <c r="D141" s="245"/>
      <c r="E141" s="245"/>
      <c r="F141" s="245"/>
      <c r="G141" s="245"/>
      <c r="H141" s="245"/>
      <c r="I141" s="245"/>
      <c r="J141" s="245"/>
    </row>
    <row r="142" spans="1:10" ht="12.75">
      <c r="A142" s="91"/>
      <c r="B142" s="25"/>
      <c r="C142" s="91"/>
      <c r="D142" s="27"/>
      <c r="E142" s="27"/>
      <c r="F142" s="27"/>
      <c r="G142" s="27"/>
      <c r="H142" s="27"/>
      <c r="I142" s="27"/>
      <c r="J142" s="25"/>
    </row>
    <row r="143" spans="1:10" ht="12.75">
      <c r="A143" s="91"/>
      <c r="B143" s="19" t="s">
        <v>50</v>
      </c>
      <c r="C143" s="91"/>
      <c r="D143" s="91"/>
      <c r="E143" s="91"/>
      <c r="F143" s="91"/>
      <c r="G143" s="91"/>
      <c r="H143" s="213">
        <f>8384.2-2359.1</f>
        <v>6025.1</v>
      </c>
      <c r="I143" s="91" t="s">
        <v>4</v>
      </c>
      <c r="J143" s="91"/>
    </row>
    <row r="144" spans="1:10" ht="12.75" customHeight="1">
      <c r="A144" s="91"/>
      <c r="B144" s="242" t="s">
        <v>274</v>
      </c>
      <c r="C144" s="243"/>
      <c r="D144" s="91">
        <v>681813.56</v>
      </c>
      <c r="E144" s="91" t="s">
        <v>51</v>
      </c>
      <c r="F144" s="91"/>
      <c r="G144" s="148"/>
      <c r="H144" s="212">
        <f>D144*9</f>
        <v>6136322.040000001</v>
      </c>
      <c r="I144" s="91"/>
      <c r="J144" s="91"/>
    </row>
    <row r="145" spans="1:10" ht="12.75">
      <c r="A145" s="91"/>
      <c r="B145" s="18" t="s">
        <v>275</v>
      </c>
      <c r="C145" s="91"/>
      <c r="D145" s="91">
        <f>D144</f>
        <v>681813.56</v>
      </c>
      <c r="E145" s="91" t="s">
        <v>116</v>
      </c>
      <c r="F145" s="91"/>
      <c r="G145" s="148"/>
      <c r="H145" s="212">
        <f>D145*3*1.055</f>
        <v>2157939.9174</v>
      </c>
      <c r="I145" s="91"/>
      <c r="J145" s="91"/>
    </row>
    <row r="146" spans="1:13" ht="12.75">
      <c r="A146" s="91"/>
      <c r="B146" s="18" t="s">
        <v>276</v>
      </c>
      <c r="C146" s="91"/>
      <c r="D146" s="91">
        <v>1</v>
      </c>
      <c r="E146" s="161" t="s">
        <v>279</v>
      </c>
      <c r="F146" s="91"/>
      <c r="G146" s="91"/>
      <c r="H146" s="212">
        <v>30000</v>
      </c>
      <c r="I146" s="91"/>
      <c r="J146" s="91"/>
      <c r="L146">
        <v>211</v>
      </c>
      <c r="M146" s="17" t="e">
        <f>H143+#REF!+#REF!+#REF!</f>
        <v>#REF!</v>
      </c>
    </row>
    <row r="147" spans="1:13" ht="12.75">
      <c r="A147" s="91"/>
      <c r="B147" s="18" t="s">
        <v>160</v>
      </c>
      <c r="C147" s="91"/>
      <c r="D147" s="91"/>
      <c r="E147" s="161"/>
      <c r="F147" s="91"/>
      <c r="G147" s="91"/>
      <c r="H147" s="212">
        <v>0</v>
      </c>
      <c r="I147" s="91"/>
      <c r="J147" s="91"/>
      <c r="M147" s="17"/>
    </row>
    <row r="148" spans="1:13" ht="12.75">
      <c r="A148" s="91"/>
      <c r="B148" s="18" t="s">
        <v>287</v>
      </c>
      <c r="C148" s="91"/>
      <c r="D148" s="91"/>
      <c r="E148" s="161"/>
      <c r="F148" s="91"/>
      <c r="G148" s="91"/>
      <c r="H148" s="212"/>
      <c r="I148" s="91"/>
      <c r="J148" s="91"/>
      <c r="M148" s="17"/>
    </row>
    <row r="149" spans="1:13" ht="15" customHeight="1">
      <c r="A149" s="91"/>
      <c r="B149" s="18" t="s">
        <v>278</v>
      </c>
      <c r="C149" s="91"/>
      <c r="D149" s="91"/>
      <c r="E149" s="161"/>
      <c r="F149" s="91"/>
      <c r="G149" s="91"/>
      <c r="H149" s="212"/>
      <c r="I149" s="91"/>
      <c r="J149" s="91"/>
      <c r="L149">
        <v>212</v>
      </c>
      <c r="M149" s="10">
        <f>F11+H150</f>
        <v>0</v>
      </c>
    </row>
    <row r="150" spans="1:13" ht="12.75">
      <c r="A150" s="91"/>
      <c r="B150" s="19" t="s">
        <v>52</v>
      </c>
      <c r="C150" s="91"/>
      <c r="D150" s="91"/>
      <c r="E150" s="91"/>
      <c r="F150" s="91"/>
      <c r="G150" s="91"/>
      <c r="H150" s="23">
        <f>H151+H152</f>
        <v>0</v>
      </c>
      <c r="I150" s="91" t="s">
        <v>4</v>
      </c>
      <c r="J150" s="91"/>
      <c r="L150">
        <v>213</v>
      </c>
      <c r="M150" s="17" t="e">
        <f>H153+#REF!+#REF!+#REF!</f>
        <v>#REF!</v>
      </c>
    </row>
    <row r="151" spans="1:13" ht="12.75">
      <c r="A151" s="91"/>
      <c r="B151" s="18" t="s">
        <v>277</v>
      </c>
      <c r="C151" s="91"/>
      <c r="D151" s="91"/>
      <c r="E151" s="91"/>
      <c r="F151" s="91"/>
      <c r="G151" s="91"/>
      <c r="H151" s="202">
        <v>0</v>
      </c>
      <c r="I151" s="91" t="s">
        <v>4</v>
      </c>
      <c r="J151" s="91"/>
      <c r="L151">
        <v>221</v>
      </c>
      <c r="M151" s="10">
        <f>H154+F12</f>
        <v>37.7</v>
      </c>
    </row>
    <row r="152" spans="1:13" ht="12.75">
      <c r="A152" s="91"/>
      <c r="B152" s="91" t="s">
        <v>53</v>
      </c>
      <c r="C152" s="91"/>
      <c r="D152" s="91"/>
      <c r="E152" s="157"/>
      <c r="F152" s="91"/>
      <c r="G152" s="91"/>
      <c r="H152" s="204">
        <v>0</v>
      </c>
      <c r="I152" s="91" t="s">
        <v>4</v>
      </c>
      <c r="J152" s="91"/>
      <c r="L152">
        <v>222</v>
      </c>
      <c r="M152" s="10">
        <f>D14+H156</f>
        <v>0.7999999999999989</v>
      </c>
    </row>
    <row r="153" spans="1:13" ht="12.75">
      <c r="A153" s="91"/>
      <c r="B153" s="19" t="s">
        <v>54</v>
      </c>
      <c r="C153" s="91"/>
      <c r="D153" s="91"/>
      <c r="E153" s="91"/>
      <c r="F153" s="19"/>
      <c r="G153" s="91"/>
      <c r="H153" s="202">
        <f>2532-712.7</f>
        <v>1819.3</v>
      </c>
      <c r="I153" s="91" t="s">
        <v>4</v>
      </c>
      <c r="J153" s="91"/>
      <c r="L153">
        <v>225</v>
      </c>
      <c r="M153" s="10">
        <f>F25+D133+H158</f>
        <v>269.6</v>
      </c>
    </row>
    <row r="154" spans="1:13" ht="12.75">
      <c r="A154" s="91"/>
      <c r="B154" s="19" t="s">
        <v>55</v>
      </c>
      <c r="C154" s="91"/>
      <c r="D154" s="91"/>
      <c r="E154" s="91"/>
      <c r="F154" s="91"/>
      <c r="G154" s="91"/>
      <c r="H154" s="162">
        <f>H155</f>
        <v>25.7</v>
      </c>
      <c r="I154" s="91" t="s">
        <v>4</v>
      </c>
      <c r="J154" s="91"/>
      <c r="L154">
        <v>226</v>
      </c>
      <c r="M154" s="10">
        <f>E45+H160</f>
        <v>666</v>
      </c>
    </row>
    <row r="155" spans="1:13" ht="12.75">
      <c r="A155" s="91"/>
      <c r="B155" s="91"/>
      <c r="C155" s="91"/>
      <c r="D155" s="91"/>
      <c r="E155" s="91">
        <v>2000</v>
      </c>
      <c r="F155" s="91" t="s">
        <v>117</v>
      </c>
      <c r="G155" s="91"/>
      <c r="H155" s="203">
        <v>25.7</v>
      </c>
      <c r="I155" s="91" t="s">
        <v>4</v>
      </c>
      <c r="J155" s="91"/>
      <c r="L155">
        <v>290</v>
      </c>
      <c r="M155" s="10">
        <f>D63</f>
        <v>136.6</v>
      </c>
    </row>
    <row r="156" spans="1:13" ht="12.75">
      <c r="A156" s="91"/>
      <c r="B156" s="19" t="s">
        <v>56</v>
      </c>
      <c r="C156" s="91"/>
      <c r="D156" s="91"/>
      <c r="E156" s="91"/>
      <c r="F156" s="91"/>
      <c r="G156" s="91"/>
      <c r="H156" s="162">
        <f>H157</f>
        <v>0</v>
      </c>
      <c r="I156" s="91" t="s">
        <v>4</v>
      </c>
      <c r="J156" s="91"/>
      <c r="L156">
        <v>310</v>
      </c>
      <c r="M156" s="10">
        <f>G69+H167</f>
        <v>0</v>
      </c>
    </row>
    <row r="157" spans="1:13" ht="12.75">
      <c r="A157" s="91"/>
      <c r="B157" s="91" t="s">
        <v>57</v>
      </c>
      <c r="C157" s="91"/>
      <c r="D157" s="91"/>
      <c r="E157" s="91"/>
      <c r="F157" s="91"/>
      <c r="G157" s="91"/>
      <c r="H157" s="220">
        <v>0</v>
      </c>
      <c r="I157" s="91" t="s">
        <v>4</v>
      </c>
      <c r="J157" s="91"/>
      <c r="L157">
        <v>340</v>
      </c>
      <c r="M157" s="10">
        <f>F71+H171</f>
        <v>895.6824111669</v>
      </c>
    </row>
    <row r="158" spans="1:13" ht="12.75">
      <c r="A158" s="91"/>
      <c r="B158" s="19" t="s">
        <v>16</v>
      </c>
      <c r="C158" s="91"/>
      <c r="D158" s="91"/>
      <c r="E158" s="91"/>
      <c r="F158" s="91"/>
      <c r="G158" s="91"/>
      <c r="H158" s="162">
        <f>H159</f>
        <v>0</v>
      </c>
      <c r="I158" s="91" t="s">
        <v>4</v>
      </c>
      <c r="J158" s="91"/>
      <c r="M158" s="10" t="e">
        <f>SUM(M146:M157)</f>
        <v>#REF!</v>
      </c>
    </row>
    <row r="159" spans="1:13" ht="12.75">
      <c r="A159" s="91"/>
      <c r="B159" s="91" t="s">
        <v>58</v>
      </c>
      <c r="C159" s="91"/>
      <c r="D159" s="91"/>
      <c r="E159" s="91"/>
      <c r="F159" s="91"/>
      <c r="G159" s="91"/>
      <c r="H159" s="155">
        <v>0</v>
      </c>
      <c r="I159" s="91" t="s">
        <v>4</v>
      </c>
      <c r="J159" s="91"/>
      <c r="M159" s="17" t="e">
        <f>H143+#REF!</f>
        <v>#REF!</v>
      </c>
    </row>
    <row r="160" spans="1:13" ht="12.75">
      <c r="A160" s="91"/>
      <c r="B160" s="19" t="s">
        <v>23</v>
      </c>
      <c r="C160" s="91"/>
      <c r="D160" s="91"/>
      <c r="E160" s="91"/>
      <c r="F160" s="91"/>
      <c r="G160" s="91"/>
      <c r="H160" s="162">
        <f>SUM(H161:H166)</f>
        <v>247.9</v>
      </c>
      <c r="I160" s="91" t="s">
        <v>4</v>
      </c>
      <c r="J160" s="91"/>
      <c r="M160" s="10" t="e">
        <f>H153+#REF!</f>
        <v>#REF!</v>
      </c>
    </row>
    <row r="161" spans="1:10" ht="12.75">
      <c r="A161" s="91"/>
      <c r="B161" s="91" t="s">
        <v>59</v>
      </c>
      <c r="C161" s="91"/>
      <c r="D161" s="91"/>
      <c r="E161" s="91"/>
      <c r="F161" s="91"/>
      <c r="G161" s="91"/>
      <c r="H161" s="203">
        <v>242.1</v>
      </c>
      <c r="I161" s="91" t="s">
        <v>4</v>
      </c>
      <c r="J161" s="91"/>
    </row>
    <row r="162" spans="1:10" ht="12.75">
      <c r="A162" s="91"/>
      <c r="B162" s="91" t="s">
        <v>60</v>
      </c>
      <c r="C162" s="91"/>
      <c r="D162" s="91"/>
      <c r="E162" s="91"/>
      <c r="F162" s="91"/>
      <c r="G162" s="91"/>
      <c r="H162" s="220">
        <v>0</v>
      </c>
      <c r="I162" s="91" t="s">
        <v>4</v>
      </c>
      <c r="J162" s="91"/>
    </row>
    <row r="163" spans="1:10" ht="12.75">
      <c r="A163" s="91"/>
      <c r="B163" s="91" t="s">
        <v>61</v>
      </c>
      <c r="C163" s="91"/>
      <c r="D163" s="91"/>
      <c r="E163" s="91"/>
      <c r="F163" s="91"/>
      <c r="G163" s="91"/>
      <c r="H163" s="203">
        <v>5.8</v>
      </c>
      <c r="I163" s="91" t="s">
        <v>4</v>
      </c>
      <c r="J163" s="91"/>
    </row>
    <row r="164" spans="1:10" ht="12.75">
      <c r="A164" s="91"/>
      <c r="B164" s="91" t="s">
        <v>62</v>
      </c>
      <c r="C164" s="91"/>
      <c r="D164" s="91"/>
      <c r="E164" s="91"/>
      <c r="F164" s="91"/>
      <c r="G164" s="91"/>
      <c r="H164" s="220">
        <v>0</v>
      </c>
      <c r="I164" s="91" t="s">
        <v>4</v>
      </c>
      <c r="J164" s="91"/>
    </row>
    <row r="165" spans="1:10" ht="12.75">
      <c r="A165" s="91"/>
      <c r="B165" s="91" t="s">
        <v>63</v>
      </c>
      <c r="C165" s="91"/>
      <c r="D165" s="91"/>
      <c r="E165" s="91"/>
      <c r="F165" s="91"/>
      <c r="G165" s="91"/>
      <c r="H165" s="220">
        <v>0</v>
      </c>
      <c r="I165" s="91" t="s">
        <v>4</v>
      </c>
      <c r="J165" s="91"/>
    </row>
    <row r="166" spans="1:10" ht="12.75">
      <c r="A166" s="91"/>
      <c r="B166" s="91" t="s">
        <v>64</v>
      </c>
      <c r="C166" s="91"/>
      <c r="D166" s="91"/>
      <c r="E166" s="91"/>
      <c r="F166" s="91"/>
      <c r="G166" s="91"/>
      <c r="H166" s="220">
        <v>0</v>
      </c>
      <c r="I166" s="91" t="s">
        <v>4</v>
      </c>
      <c r="J166" s="91"/>
    </row>
    <row r="167" spans="1:10" ht="12.75">
      <c r="A167" s="91"/>
      <c r="B167" s="19" t="s">
        <v>37</v>
      </c>
      <c r="C167" s="91"/>
      <c r="D167" s="91"/>
      <c r="E167" s="91"/>
      <c r="F167" s="91"/>
      <c r="G167" s="91"/>
      <c r="H167" s="162">
        <f>SUM(H168:H170)</f>
        <v>0</v>
      </c>
      <c r="I167" s="91" t="s">
        <v>4</v>
      </c>
      <c r="J167" s="91"/>
    </row>
    <row r="168" spans="1:10" ht="12.75">
      <c r="A168" s="91"/>
      <c r="B168" s="91" t="s">
        <v>65</v>
      </c>
      <c r="C168" s="91"/>
      <c r="D168" s="91"/>
      <c r="E168" s="91"/>
      <c r="F168" s="91"/>
      <c r="G168" s="91"/>
      <c r="H168" s="220">
        <v>0</v>
      </c>
      <c r="I168" s="91" t="s">
        <v>4</v>
      </c>
      <c r="J168" s="91"/>
    </row>
    <row r="169" spans="1:10" ht="12.75">
      <c r="A169" s="91"/>
      <c r="B169" s="91" t="s">
        <v>66</v>
      </c>
      <c r="C169" s="91"/>
      <c r="D169" s="91"/>
      <c r="E169" s="91"/>
      <c r="F169" s="91"/>
      <c r="G169" s="91"/>
      <c r="H169" s="220">
        <v>0</v>
      </c>
      <c r="I169" s="91" t="s">
        <v>4</v>
      </c>
      <c r="J169" s="91"/>
    </row>
    <row r="170" spans="1:10" ht="12.75">
      <c r="A170" s="91"/>
      <c r="B170" s="91" t="s">
        <v>67</v>
      </c>
      <c r="C170" s="91"/>
      <c r="D170" s="91"/>
      <c r="E170" s="91"/>
      <c r="F170" s="91"/>
      <c r="G170" s="91"/>
      <c r="H170" s="220">
        <v>0</v>
      </c>
      <c r="I170" s="91" t="s">
        <v>4</v>
      </c>
      <c r="J170" s="91"/>
    </row>
    <row r="171" spans="1:10" ht="12.75">
      <c r="A171" s="91"/>
      <c r="B171" s="19" t="s">
        <v>38</v>
      </c>
      <c r="C171" s="91"/>
      <c r="D171" s="91"/>
      <c r="E171" s="91"/>
      <c r="F171" s="91"/>
      <c r="G171" s="91"/>
      <c r="H171" s="162">
        <f>SUM(H172:H175)</f>
        <v>0</v>
      </c>
      <c r="I171" s="91" t="s">
        <v>4</v>
      </c>
      <c r="J171" s="91"/>
    </row>
    <row r="172" spans="1:10" ht="12.75">
      <c r="A172" s="91"/>
      <c r="B172" s="91" t="s">
        <v>68</v>
      </c>
      <c r="C172" s="91"/>
      <c r="D172" s="91"/>
      <c r="E172" s="91"/>
      <c r="F172" s="91"/>
      <c r="G172" s="91"/>
      <c r="H172" s="220">
        <v>0</v>
      </c>
      <c r="I172" s="91" t="s">
        <v>4</v>
      </c>
      <c r="J172" s="91"/>
    </row>
    <row r="173" spans="1:10" ht="12.75">
      <c r="A173" s="91"/>
      <c r="B173" s="91" t="s">
        <v>69</v>
      </c>
      <c r="C173" s="91"/>
      <c r="D173" s="91"/>
      <c r="E173" s="91"/>
      <c r="F173" s="91"/>
      <c r="G173" s="91"/>
      <c r="H173" s="220">
        <v>0</v>
      </c>
      <c r="I173" s="91" t="s">
        <v>4</v>
      </c>
      <c r="J173" s="91"/>
    </row>
    <row r="174" spans="1:10" ht="12.75">
      <c r="A174" s="91"/>
      <c r="B174" s="91" t="s">
        <v>70</v>
      </c>
      <c r="C174" s="91"/>
      <c r="D174" s="91"/>
      <c r="E174" s="91"/>
      <c r="F174" s="91"/>
      <c r="G174" s="91"/>
      <c r="H174" s="220">
        <v>0</v>
      </c>
      <c r="I174" s="91" t="s">
        <v>4</v>
      </c>
      <c r="J174" s="91"/>
    </row>
    <row r="175" spans="1:10" ht="12.75">
      <c r="A175" s="91"/>
      <c r="B175" s="91" t="s">
        <v>186</v>
      </c>
      <c r="C175" s="91"/>
      <c r="D175" s="91"/>
      <c r="E175" s="91"/>
      <c r="F175" s="91"/>
      <c r="G175" s="91"/>
      <c r="H175" s="220">
        <v>0</v>
      </c>
      <c r="I175" s="91" t="s">
        <v>4</v>
      </c>
      <c r="J175" s="91"/>
    </row>
    <row r="176" spans="1:12" ht="15">
      <c r="A176" s="19"/>
      <c r="B176" s="159" t="s">
        <v>48</v>
      </c>
      <c r="C176" s="159"/>
      <c r="D176" s="159"/>
      <c r="E176" s="159"/>
      <c r="F176" s="159"/>
      <c r="G176" s="159"/>
      <c r="H176" s="160">
        <f>H171+H167+H160+H158+H156+H154+H153+H150+H143</f>
        <v>8118</v>
      </c>
      <c r="I176" s="159" t="s">
        <v>4</v>
      </c>
      <c r="J176" s="91"/>
      <c r="K176" s="20">
        <v>8118</v>
      </c>
      <c r="L176" s="17">
        <f>H176-K176</f>
        <v>0</v>
      </c>
    </row>
    <row r="177" spans="1:11" s="18" customFormat="1" ht="12.75">
      <c r="A177" s="91"/>
      <c r="B177" s="19"/>
      <c r="C177" s="19"/>
      <c r="D177" s="91"/>
      <c r="E177" s="91"/>
      <c r="F177" s="91"/>
      <c r="G177" s="91"/>
      <c r="H177" s="23"/>
      <c r="I177" s="91"/>
      <c r="J177" s="91"/>
      <c r="K177" s="24"/>
    </row>
    <row r="178" spans="1:10" ht="15.75">
      <c r="A178" s="19"/>
      <c r="B178" s="147" t="s">
        <v>71</v>
      </c>
      <c r="C178" s="19"/>
      <c r="D178" s="23"/>
      <c r="E178" s="19"/>
      <c r="F178" s="23"/>
      <c r="G178" s="19"/>
      <c r="H178" s="178">
        <f>H183+H189+H192+H199</f>
        <v>254.248</v>
      </c>
      <c r="I178" s="149" t="s">
        <v>4</v>
      </c>
      <c r="J178" s="19"/>
    </row>
    <row r="179" spans="1:10" ht="12.75">
      <c r="A179" s="91"/>
      <c r="B179" s="19"/>
      <c r="C179" s="19"/>
      <c r="D179" s="23"/>
      <c r="E179" s="19"/>
      <c r="F179" s="148"/>
      <c r="G179" s="91"/>
      <c r="H179" s="91"/>
      <c r="I179" s="91"/>
      <c r="J179" s="91"/>
    </row>
    <row r="180" spans="1:10" ht="12.75">
      <c r="A180" s="91"/>
      <c r="B180" s="19" t="s">
        <v>260</v>
      </c>
      <c r="C180" s="19"/>
      <c r="D180" s="23"/>
      <c r="E180" s="19"/>
      <c r="F180" s="148"/>
      <c r="G180" s="91"/>
      <c r="H180" s="91"/>
      <c r="I180" s="91"/>
      <c r="J180" s="91"/>
    </row>
    <row r="181" spans="1:10" ht="12.75">
      <c r="A181" s="91"/>
      <c r="B181" s="18" t="s">
        <v>259</v>
      </c>
      <c r="C181" s="91"/>
      <c r="D181" s="148"/>
      <c r="E181" s="91"/>
      <c r="F181" s="148"/>
      <c r="H181" s="202">
        <v>81.9</v>
      </c>
      <c r="I181" s="91" t="s">
        <v>4</v>
      </c>
      <c r="J181" s="91"/>
    </row>
    <row r="182" spans="1:10" ht="12.75">
      <c r="A182" s="91"/>
      <c r="B182" s="91" t="s">
        <v>261</v>
      </c>
      <c r="C182" s="91"/>
      <c r="D182" s="148"/>
      <c r="E182" s="91"/>
      <c r="F182" s="148"/>
      <c r="H182" s="202">
        <v>5.9</v>
      </c>
      <c r="I182" s="91" t="s">
        <v>4</v>
      </c>
      <c r="J182" s="91"/>
    </row>
    <row r="183" spans="1:10" ht="15">
      <c r="A183" s="91"/>
      <c r="B183" s="159" t="s">
        <v>15</v>
      </c>
      <c r="C183" s="91"/>
      <c r="D183" s="148"/>
      <c r="E183" s="91"/>
      <c r="F183" s="148"/>
      <c r="H183" s="23">
        <f>H181+H182</f>
        <v>87.80000000000001</v>
      </c>
      <c r="I183" s="91" t="s">
        <v>4</v>
      </c>
      <c r="J183" s="91"/>
    </row>
    <row r="184" spans="1:10" ht="12.75">
      <c r="A184" s="91"/>
      <c r="B184" s="91"/>
      <c r="C184" s="91"/>
      <c r="D184" s="148"/>
      <c r="E184" s="148"/>
      <c r="F184" s="148"/>
      <c r="G184" s="91"/>
      <c r="H184" s="91"/>
      <c r="I184" s="91"/>
      <c r="J184" s="91"/>
    </row>
    <row r="185" spans="1:10" ht="12.75">
      <c r="A185" s="91"/>
      <c r="B185" s="19" t="s">
        <v>265</v>
      </c>
      <c r="C185" s="19"/>
      <c r="D185" s="19"/>
      <c r="E185" s="19"/>
      <c r="F185" s="23"/>
      <c r="G185" s="19"/>
      <c r="H185" s="19"/>
      <c r="I185" s="19"/>
      <c r="J185" s="91"/>
    </row>
    <row r="186" spans="1:10" ht="12.75">
      <c r="A186" s="91"/>
      <c r="B186" s="25" t="s">
        <v>72</v>
      </c>
      <c r="C186" s="44"/>
      <c r="D186" s="44"/>
      <c r="F186" s="27">
        <v>2990</v>
      </c>
      <c r="G186" s="27" t="s">
        <v>166</v>
      </c>
      <c r="H186" s="27"/>
      <c r="I186" s="27"/>
      <c r="J186" s="91"/>
    </row>
    <row r="187" spans="1:10" ht="12.75">
      <c r="A187" s="91"/>
      <c r="B187" s="8" t="s">
        <v>285</v>
      </c>
      <c r="C187" s="91"/>
      <c r="D187" s="148"/>
      <c r="E187" s="91"/>
      <c r="F187" s="148"/>
      <c r="G187" s="23"/>
      <c r="H187" s="218">
        <v>30.7</v>
      </c>
      <c r="I187" s="27" t="s">
        <v>4</v>
      </c>
      <c r="J187" s="91"/>
    </row>
    <row r="188" spans="1:12" ht="12.75">
      <c r="A188" s="91"/>
      <c r="B188" s="18" t="s">
        <v>286</v>
      </c>
      <c r="C188" s="91"/>
      <c r="D188" s="148"/>
      <c r="E188" s="91"/>
      <c r="F188" s="148"/>
      <c r="G188" s="23"/>
      <c r="H188" s="218">
        <v>2.4</v>
      </c>
      <c r="I188" s="27" t="s">
        <v>4</v>
      </c>
      <c r="J188" s="91"/>
      <c r="K188">
        <v>221</v>
      </c>
      <c r="L188" s="10">
        <f>G185</f>
        <v>0</v>
      </c>
    </row>
    <row r="189" spans="1:12" ht="12.75">
      <c r="A189" s="91"/>
      <c r="B189" s="19" t="s">
        <v>280</v>
      </c>
      <c r="C189" s="19"/>
      <c r="D189" s="23"/>
      <c r="E189" s="19"/>
      <c r="F189" s="148"/>
      <c r="G189" s="91"/>
      <c r="H189" s="217">
        <f>H187+H188</f>
        <v>33.1</v>
      </c>
      <c r="I189" s="27" t="s">
        <v>4</v>
      </c>
      <c r="J189" s="91"/>
      <c r="K189" s="28">
        <v>226</v>
      </c>
      <c r="L189" s="66">
        <f>G190+G192+G197</f>
        <v>0</v>
      </c>
    </row>
    <row r="190" spans="1:12" ht="12.75">
      <c r="A190" s="91"/>
      <c r="B190" s="19"/>
      <c r="C190" s="19"/>
      <c r="D190" s="23"/>
      <c r="E190" s="23"/>
      <c r="F190" s="23"/>
      <c r="G190" s="19"/>
      <c r="H190" s="19"/>
      <c r="I190" s="19"/>
      <c r="J190" s="91"/>
      <c r="K190">
        <v>310</v>
      </c>
      <c r="L190" s="10">
        <f>G181</f>
        <v>0</v>
      </c>
    </row>
    <row r="191" spans="1:12" ht="12.75">
      <c r="A191" s="91"/>
      <c r="B191" s="19" t="s">
        <v>264</v>
      </c>
      <c r="C191" s="91"/>
      <c r="D191" s="91"/>
      <c r="E191" s="91"/>
      <c r="F191" s="148"/>
      <c r="G191" s="163"/>
      <c r="H191" s="91"/>
      <c r="I191" s="91"/>
      <c r="J191" s="91"/>
      <c r="K191" s="28">
        <v>340</v>
      </c>
      <c r="L191" s="66">
        <f>G193+G194+G195</f>
        <v>0</v>
      </c>
    </row>
    <row r="192" spans="1:10" ht="12.75">
      <c r="A192" s="91"/>
      <c r="B192" s="214" t="s">
        <v>281</v>
      </c>
      <c r="C192" s="91"/>
      <c r="D192" s="91"/>
      <c r="E192" s="18" t="s">
        <v>243</v>
      </c>
      <c r="F192" s="148"/>
      <c r="G192" s="163"/>
      <c r="H192" s="216">
        <f>H193+H194</f>
        <v>98.3</v>
      </c>
      <c r="I192" s="27" t="s">
        <v>4</v>
      </c>
      <c r="J192" s="91"/>
    </row>
    <row r="193" spans="1:10" ht="12.75">
      <c r="A193" s="91"/>
      <c r="B193" s="91" t="s">
        <v>262</v>
      </c>
      <c r="C193" s="44"/>
      <c r="D193" s="44"/>
      <c r="E193" s="27"/>
      <c r="F193" s="215">
        <v>0.933</v>
      </c>
      <c r="G193" s="164"/>
      <c r="H193" s="219">
        <v>91.7</v>
      </c>
      <c r="I193" s="27" t="s">
        <v>4</v>
      </c>
      <c r="J193" s="91"/>
    </row>
    <row r="194" spans="1:10" ht="12.75">
      <c r="A194" s="91"/>
      <c r="B194" s="214" t="s">
        <v>263</v>
      </c>
      <c r="C194" s="140"/>
      <c r="D194" s="140"/>
      <c r="E194" s="27"/>
      <c r="F194" s="215">
        <v>0.067</v>
      </c>
      <c r="G194" s="165"/>
      <c r="H194" s="219">
        <v>6.6</v>
      </c>
      <c r="I194" s="27" t="s">
        <v>4</v>
      </c>
      <c r="J194" s="91"/>
    </row>
    <row r="195" spans="1:10" ht="12.75">
      <c r="A195" s="91"/>
      <c r="B195" s="91"/>
      <c r="C195" s="44"/>
      <c r="D195" s="44"/>
      <c r="E195" s="27"/>
      <c r="F195" s="148"/>
      <c r="G195" s="91"/>
      <c r="H195" s="91"/>
      <c r="I195" s="91"/>
      <c r="J195" s="91"/>
    </row>
    <row r="196" spans="1:10" ht="12.75">
      <c r="A196" s="91"/>
      <c r="B196" s="19" t="s">
        <v>282</v>
      </c>
      <c r="C196" s="91"/>
      <c r="D196" s="167"/>
      <c r="E196" s="148"/>
      <c r="F196" s="148"/>
      <c r="G196" s="166"/>
      <c r="H196" s="91"/>
      <c r="I196" s="91"/>
      <c r="J196" s="91"/>
    </row>
    <row r="197" spans="1:10" ht="12.75">
      <c r="A197" s="91"/>
      <c r="B197" s="91" t="s">
        <v>283</v>
      </c>
      <c r="C197" s="91"/>
      <c r="D197" s="91"/>
      <c r="E197" s="91"/>
      <c r="F197" s="148"/>
      <c r="G197" s="166"/>
      <c r="H197" s="223">
        <v>32.648</v>
      </c>
      <c r="I197" s="27" t="s">
        <v>4</v>
      </c>
      <c r="J197" s="91"/>
    </row>
    <row r="198" spans="1:10" ht="12.75">
      <c r="A198" s="91"/>
      <c r="B198" s="18" t="s">
        <v>284</v>
      </c>
      <c r="C198" s="168"/>
      <c r="D198" s="169"/>
      <c r="E198" s="27"/>
      <c r="F198" s="27"/>
      <c r="G198" s="164"/>
      <c r="H198" s="224">
        <v>2.4</v>
      </c>
      <c r="I198" s="27" t="s">
        <v>4</v>
      </c>
      <c r="J198" s="91"/>
    </row>
    <row r="199" spans="1:10" ht="12.75">
      <c r="A199" s="91"/>
      <c r="B199" s="19" t="s">
        <v>15</v>
      </c>
      <c r="C199" s="19"/>
      <c r="D199" s="23"/>
      <c r="E199" s="19"/>
      <c r="F199" s="148"/>
      <c r="G199" s="163"/>
      <c r="H199" s="225">
        <f>H197+H198</f>
        <v>35.048</v>
      </c>
      <c r="I199" s="27" t="s">
        <v>4</v>
      </c>
      <c r="J199" s="91"/>
    </row>
    <row r="200" spans="1:10" ht="12.75">
      <c r="A200" s="91"/>
      <c r="B200" s="19"/>
      <c r="C200" s="19"/>
      <c r="D200" s="23"/>
      <c r="E200" s="19"/>
      <c r="F200" s="148"/>
      <c r="G200" s="163"/>
      <c r="H200" s="19"/>
      <c r="I200" s="91"/>
      <c r="J200" s="91"/>
    </row>
    <row r="201" spans="1:12" ht="15.75">
      <c r="A201" s="19"/>
      <c r="B201" s="149" t="s">
        <v>167</v>
      </c>
      <c r="C201" s="91"/>
      <c r="D201" s="19"/>
      <c r="E201" s="19"/>
      <c r="F201" s="19"/>
      <c r="G201" s="172">
        <f>H178+H176+E138+D134+D130</f>
        <v>10567.8304111669</v>
      </c>
      <c r="H201" s="19" t="s">
        <v>4</v>
      </c>
      <c r="I201" s="19"/>
      <c r="J201" s="19"/>
      <c r="L201" t="e">
        <f>G201+#REF!</f>
        <v>#REF!</v>
      </c>
    </row>
  </sheetData>
  <sheetProtection/>
  <mergeCells count="16">
    <mergeCell ref="B144:C144"/>
    <mergeCell ref="A132:I132"/>
    <mergeCell ref="A140:J141"/>
    <mergeCell ref="B136:I136"/>
    <mergeCell ref="B43:C43"/>
    <mergeCell ref="B44:C44"/>
    <mergeCell ref="B62:D62"/>
    <mergeCell ref="B70:D70"/>
    <mergeCell ref="B68:C68"/>
    <mergeCell ref="B59:C59"/>
    <mergeCell ref="B37:D37"/>
    <mergeCell ref="B42:E42"/>
    <mergeCell ref="B9:I9"/>
    <mergeCell ref="G17:I17"/>
    <mergeCell ref="B23:C23"/>
    <mergeCell ref="B24:C24"/>
  </mergeCells>
  <printOptions/>
  <pageMargins left="0" right="0" top="0.1968503937007874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sad</cp:lastModifiedBy>
  <cp:lastPrinted>2013-12-04T06:02:44Z</cp:lastPrinted>
  <dcterms:created xsi:type="dcterms:W3CDTF">2012-11-30T10:56:50Z</dcterms:created>
  <dcterms:modified xsi:type="dcterms:W3CDTF">2014-11-30T09:00:52Z</dcterms:modified>
  <cp:category/>
  <cp:version/>
  <cp:contentType/>
  <cp:contentStatus/>
</cp:coreProperties>
</file>